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aVru+xKhyBPk6BOvGwV2WH6iqeKA5Dnq9S4K/e1UETah0zkZ1lpATntY5E5MKkeuD9lyLqOSxAkeR4f0e+9BqQ==" workbookSaltValue="f4tnb55jSy+dszCEVh/RGQ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245" i="83" l="1"/>
  <c r="AJ70" i="83"/>
  <c r="AN70" i="83" s="1"/>
  <c r="Y52" i="83" s="1"/>
  <c r="AG190" i="83"/>
  <c r="AG302" i="83"/>
  <c r="AH161" i="83"/>
  <c r="AG214" i="83"/>
  <c r="AK161" i="83"/>
  <c r="AQ161" i="83" s="1"/>
  <c r="AK214" i="83"/>
  <c r="AP214" i="83" s="1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45" i="83" l="1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<sst xmlns="http://schemas.openxmlformats.org/spreadsheetml/2006/main" count="65855" uniqueCount="756">
  <si>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</si>
  <si>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</si>
  <si>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</si>
  <si>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</si>
  <si>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</si>
  <si>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</si>
  <si>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</si>
  <si>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</si>
  <si>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</si>
  <si>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</si>
  <si>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</si>
  <si>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</si>
  <si>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</si>
  <si>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</si>
  <si>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</si>
  <si>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</si>
  <si>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</si>
  <si>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</si>
  <si>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</si>
  <si>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</si>
  <si>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</si>
  <si>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</si>
  <si>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</si>
  <si>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</si>
  <si>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</si>
  <si>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</si>
  <si>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</si>
  <si>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</si>
  <si>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</si>
  <si>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</si>
  <si>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</si>
  <si>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</si>
  <si>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</si>
  <si>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</si>
  <si>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</si>
  <si>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</si>
  <si>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</si>
  <si>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</si>
  <si>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</si>
  <si>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</si>
  <si>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</si>
  <si>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</si>
  <si>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</si>
  <si>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</si>
  <si>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</si>
  <si>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</si>
  <si>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</si>
  <si>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</si>
  <si>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</si>
  <si>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</si>
  <si>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</si>
  <si>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</si>
  <si>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</si>
  <si>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</si>
  <si>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</si>
  <si>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</si>
  <si>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</si>
  <si>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</si>
  <si>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</si>
  <si>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</si>
  <si>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</si>
  <si>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</si>
  <si>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</si>
  <si>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</si>
  <si>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</si>
  <si>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</si>
  <si>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</si>
  <si>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</si>
  <si>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</si>
  <si>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</si>
  <si>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</si>
  <si>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</si>
  <si>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</si>
  <si>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</si>
  <si>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</si>
  <si>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</si>
  <si>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</si>
  <si>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</si>
  <si>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</si>
  <si>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</si>
  <si>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</si>
  <si>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</si>
  <si>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</si>
  <si>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</si>
  <si>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</si>
  <si>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</si>
  <si>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</si>
  <si>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</si>
  <si>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</si>
  <si>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</si>
  <si>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</si>
  <si>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</si>
  <si>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</si>
  <si>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</si>
  <si>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</si>
  <si>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</si>
  <si>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</si>
  <si>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</si>
  <si>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</si>
  <si>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</si>
  <si>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</si>
  <si>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</si>
  <si>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</si>
  <si>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</si>
  <si>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</si>
  <si>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</si>
  <si>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</si>
  <si>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</si>
  <si>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</si>
  <si>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</si>
  <si>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</si>
  <si>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</si>
  <si>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</si>
  <si>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</si>
  <si>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</si>
  <si>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</si>
  <si>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</si>
  <si>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</si>
  <si>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</si>
  <si>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</si>
  <si>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</si>
  <si>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</si>
  <si>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</si>
  <si>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</si>
  <si>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</si>
  <si>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</si>
  <si>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</si>
  <si>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</si>
  <si>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</si>
  <si>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</si>
  <si>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</si>
  <si>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</si>
  <si>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</si>
  <si>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</si>
  <si>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</si>
  <si>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</si>
  <si>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</si>
  <si>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</si>
  <si>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</si>
  <si>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</si>
  <si>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</si>
  <si>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</si>
  <si>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</si>
  <si>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</si>
  <si>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</si>
  <si>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</si>
  <si>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</si>
  <si>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</si>
  <si>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</si>
  <si>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</si>
  <si>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</si>
  <si>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</si>
  <si>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</si>
  <si>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</si>
  <si>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</si>
  <si>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</si>
  <si>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</si>
  <si>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</si>
  <si>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</si>
  <si>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</si>
  <si>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</si>
  <si>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</si>
  <si>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</si>
  <si>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</si>
  <si>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</si>
  <si>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</si>
  <si>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</si>
  <si>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</si>
  <si>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</si>
  <si>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</si>
  <si>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</si>
  <si>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</si>
  <si>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</si>
  <si>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</si>
  <si>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</si>
  <si>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</si>
  <si>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</si>
  <si>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</si>
  <si>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</si>
  <si>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</si>
  <si>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</si>
  <si>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</si>
  <si>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</si>
  <si>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</si>
  <si>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</si>
  <si>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</si>
  <si>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</si>
  <si>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</si>
  <si>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</si>
  <si>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</si>
  <si>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</si>
  <si>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</si>
  <si>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</si>
  <si>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</si>
  <si>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</si>
  <si>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</si>
  <si>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</si>
  <si>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</si>
  <si>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</si>
  <si>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</si>
  <si>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</si>
  <si>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</si>
  <si>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</si>
  <si>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</si>
  <si>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</si>
  <si>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</si>
  <si>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</si>
  <si>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</si>
  <si>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</si>
  <si>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</si>
  <si>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</si>
  <si>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</si>
  <si>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</si>
  <si>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</si>
  <si>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</si>
  <si>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</si>
  <si>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</si>
  <si>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</si>
  <si>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</si>
  <si>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</si>
  <si>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</si>
  <si>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</si>
  <si>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</si>
  <si>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</si>
  <si>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</si>
  <si>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</si>
  <si>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</si>
  <si>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</si>
  <si>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</si>
  <si>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</si>
  <si>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</si>
  <si>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</si>
  <si>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</si>
  <si>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</si>
  <si>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</si>
  <si>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</si>
  <si>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</si>
  <si>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</si>
  <si>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</si>
  <si>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</si>
  <si>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</si>
  <si>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</si>
  <si>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</si>
  <si>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</si>
  <si>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</si>
  <si>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</si>
  <si>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</si>
  <si>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</si>
  <si>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</si>
  <si>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</si>
  <si>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</si>
  <si>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</si>
  <si>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</si>
  <si>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</si>
  <si>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</si>
  <si>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</si>
  <si>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</si>
  <si>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</si>
  <si>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</si>
  <si>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</si>
  <si>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</si>
  <si>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</si>
  <si>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</si>
  <si>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</si>
  <si>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</si>
  <si>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</si>
  <si>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</si>
  <si>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</si>
  <si>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</si>
  <si>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</si>
  <si>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</si>
  <si>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</si>
  <si>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</si>
  <si>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</si>
  <si>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</si>
  <si>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</si>
  <si>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</si>
  <si>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</si>
  <si>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</si>
  <si>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</si>
  <si>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</si>
  <si>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</si>
  <si>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</si>
  <si>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</si>
  <si>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</si>
  <si>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</si>
  <si>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</si>
  <si>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</si>
  <si>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</si>
  <si>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</si>
  <si>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</si>
  <si>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</si>
  <si>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</si>
  <si>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</si>
  <si>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</si>
  <si>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</si>
  <si>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</si>
  <si>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</si>
  <si>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</si>
  <si>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</si>
  <si>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</si>
  <si>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</si>
  <si>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</si>
  <si>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</si>
  <si>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</si>
  <si>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</si>
  <si>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</si>
  <si>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</si>
  <si>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</si>
  <si>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</si>
  <si>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</si>
  <si>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</si>
  <si>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</si>
  <si>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</si>
  <si>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</si>
  <si>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</si>
  <si>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</si>
  <si>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</si>
  <si>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</si>
  <si>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</si>
  <si>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</si>
  <si>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</si>
  <si>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</si>
  <si>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</si>
  <si>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</si>
  <si>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</si>
  <si>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</si>
  <si>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</si>
  <si>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</si>
  <si>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</si>
  <si>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</si>
  <si>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</si>
  <si>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</si>
  <si>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</si>
  <si>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</si>
  <si>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</si>
  <si>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</si>
  <si>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</si>
  <si>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</si>
  <si>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</si>
  <si>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</si>
  <si>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</si>
  <si>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</si>
  <si>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</si>
  <si>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</si>
  <si>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</si>
  <si>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</si>
  <si>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</si>
  <si>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</si>
  <si>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</si>
  <si>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</si>
  <si>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</si>
  <si>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</si>
  <si>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</si>
  <si>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</si>
  <si>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</si>
  <si>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</si>
  <si>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</si>
  <si>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</si>
  <si>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</si>
  <si>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</si>
  <si>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</si>
  <si>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</si>
  <si>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</si>
  <si>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</si>
  <si>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</si>
  <si>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</si>
  <si>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</si>
  <si>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</si>
  <si>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</si>
  <si>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</si>
  <si>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</si>
  <si>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</si>
  <si>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</si>
  <si>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</si>
  <si>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</si>
  <si>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</si>
  <si>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</si>
  <si>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</si>
  <si>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</si>
  <si>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</si>
  <si>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</si>
  <si>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</si>
  <si>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</si>
  <si>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</si>
  <si>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</si>
  <si>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</si>
  <si>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</si>
  <si>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</si>
  <si>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</si>
  <si>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</si>
  <si>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</si>
  <si>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</si>
  <si>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</si>
  <si>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</si>
  <si>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</si>
  <si>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</si>
  <si>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</si>
  <si>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</si>
  <si>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</si>
  <si>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</si>
  <si>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</si>
  <si>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</si>
  <si>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</si>
  <si>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</si>
  <si>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</si>
  <si>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</si>
  <si>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</si>
  <si>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</si>
  <si>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</si>
  <si>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</si>
  <si>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</si>
  <si>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</si>
  <si>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</si>
  <si>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</si>
  <si>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</si>
  <si>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</si>
  <si>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</si>
  <si>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</si>
  <si>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</si>
  <si>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</si>
  <si>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</si>
  <si>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</si>
  <si>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</si>
  <si>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</si>
  <si>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</si>
  <si>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</si>
  <si>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</si>
  <si>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</si>
  <si>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</si>
  <si>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</si>
  <si>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</si>
  <si>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</si>
  <si>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</si>
  <si>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</si>
  <si>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</si>
  <si>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</si>
  <si>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</si>
  <si>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</si>
  <si>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</si>
  <si>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</si>
  <si>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</si>
  <si>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</si>
  <si>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</si>
  <si>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</si>
  <si>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</si>
  <si>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</si>
  <si>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</si>
  <si>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</si>
  <si>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</si>
  <si>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</si>
  <si>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</si>
  <si>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</si>
  <si>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</si>
  <si>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</si>
  <si>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</si>
  <si>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</si>
  <si>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</si>
  <si>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</si>
  <si>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</si>
  <si>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</si>
  <si>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</si>
  <si>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</si>
  <si>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</si>
  <si>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</si>
  <si>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</si>
  <si>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</si>
  <si>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</si>
  <si>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</si>
  <si>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</si>
  <si>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</si>
  <si>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</si>
  <si>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</si>
  <si>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</si>
  <si>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</si>
  <si>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</si>
  <si>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</si>
  <si>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</si>
  <si>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</si>
  <si>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</si>
  <si>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</si>
  <si>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</si>
  <si>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</si>
  <si>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</si>
  <si>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</si>
  <si>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</si>
  <si>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</si>
  <si>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</si>
  <si>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</si>
  <si>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</si>
  <si>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</si>
  <si>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</si>
  <si>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</si>
  <si>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</si>
  <si>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</si>
  <si>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</si>
  <si>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</si>
  <si>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</si>
  <si>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</si>
  <si>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</si>
  <si>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</si>
  <si>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</si>
  <si>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</si>
  <si>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</si>
  <si>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</si>
  <si>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</si>
  <si>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</si>
  <si>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</si>
  <si>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</si>
  <si>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</si>
  <si>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</si>
  <si>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</si>
  <si>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</si>
  <si>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</si>
  <si>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</si>
  <si>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</si>
  <si>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</si>
  <si>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</si>
  <si>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</si>
  <si>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</si>
  <si>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</si>
  <si>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</si>
  <si>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</si>
  <si>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</si>
  <si>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</si>
  <si>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</si>
  <si>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</si>
  <si>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</si>
  <si>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</si>
  <si>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</si>
  <si>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</si>
  <si>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</si>
  <si>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</si>
  <si>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</si>
  <si>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</si>
  <si>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</si>
  <si>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</si>
  <si>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</si>
  <si>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</si>
  <si>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</si>
  <si>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</si>
  <si>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</si>
  <si>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</si>
  <si>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</si>
  <si>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</si>
  <si>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</si>
  <si>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</si>
  <si>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</si>
  <si>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</si>
  <si>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</si>
  <si>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</si>
  <si>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</si>
  <si>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</si>
  <si>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</si>
  <si>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</si>
  <si>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</si>
  <si>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</si>
  <si>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</si>
  <si>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</si>
  <si>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</si>
  <si>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</si>
  <si>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</si>
  <si>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</si>
  <si>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</si>
  <si>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</si>
  <si>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</si>
  <si>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</si>
  <si>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</si>
  <si>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</si>
  <si>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</si>
  <si>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</si>
  <si>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</si>
  <si>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</si>
  <si>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</si>
  <si>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</si>
  <si>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</si>
  <si>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</si>
  <si>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</si>
  <si>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</si>
  <si>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</si>
  <si>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</si>
  <si>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</si>
  <si>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</si>
  <si>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</si>
  <si>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</si>
  <si>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</si>
  <si>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</si>
  <si>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</si>
  <si>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</si>
  <si>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</si>
  <si>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</si>
  <si>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</si>
  <si>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</si>
  <si>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</si>
  <si>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</si>
  <si>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</si>
  <si>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</si>
  <si>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</si>
  <si>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</si>
  <si>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</si>
  <si>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</si>
  <si>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</si>
  <si>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</si>
  <si>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</si>
  <si>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</si>
  <si>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</si>
  <si>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</si>
  <si>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</si>
  <si>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</si>
  <si>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</si>
  <si>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</si>
  <si>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</si>
  <si>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</si>
  <si>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</si>
  <si>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</si>
  <si>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</si>
  <si>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</si>
  <si>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</si>
  <si>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</si>
  <si>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</si>
  <si>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</si>
  <si>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</si>
  <si>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</si>
  <si>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</si>
  <si>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</si>
  <si>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</si>
  <si>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</si>
  <si>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</si>
  <si>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</si>
  <si>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</si>
  <si>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</si>
  <si>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</si>
  <si>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</si>
  <si>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</si>
  <si>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</si>
  <si>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</si>
  <si>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</si>
  <si>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</si>
  <si>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</si>
  <si>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</si>
  <si>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</si>
  <si>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</si>
  <si>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</si>
  <si>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</si>
  <si>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</si>
  <si>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</si>
  <si>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</si>
  <si>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</si>
  <si>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</si>
  <si>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</si>
  <si>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</si>
  <si>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</si>
  <si>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</si>
  <si>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</si>
  <si>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</si>
  <si>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</si>
  <si>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</si>
  <si>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</si>
  <si>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</si>
  <si>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</si>
  <si>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</si>
  <si>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</si>
  <si>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</si>
  <si>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</si>
  <si>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</si>
  <si>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</si>
  <si>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</si>
  <si>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</si>
  <si>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</si>
  <si>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</si>
  <si>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</si>
  <si>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</si>
  <si>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</si>
  <si>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</si>
  <si>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</si>
  <si>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</si>
  <si>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</si>
  <si>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</si>
  <si>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</si>
  <si>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</si>
  <si>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</si>
  <si>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</si>
  <si>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</si>
  <si>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</si>
  <si>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</si>
  <si>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</si>
  <si>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</si>
  <si>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</si>
  <si>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</si>
  <si>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</si>
  <si>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</si>
  <si>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</si>
  <si>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</si>
  <si>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</si>
  <si>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</si>
  <si>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</si>
  <si>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</si>
  <si>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</si>
  <si>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</si>
  <si>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</si>
  <si>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</si>
  <si>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</si>
  <si>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</si>
  <si>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</si>
  <si>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</si>
  <si>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</si>
  <si>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</si>
  <si>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</si>
  <si>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</si>
  <si>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</si>
  <si>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</si>
  <si>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</si>
  <si>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</si>
  <si>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</si>
  <si>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</si>
  <si>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</si>
  <si>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</si>
  <si>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</si>
  <si>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</si>
  <si>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</si>
  <si>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</si>
  <si>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</si>
  <si>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</si>
  <si>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</si>
  <si>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</si>
  <si>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</si>
  <si>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</si>
  <si>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</si>
  <si>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</si>
  <si>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</si>
  <si>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</si>
  <si>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</si>
  <si>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</si>
  <si>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</si>
  <si>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</si>
  <si>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</si>
  <si>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</si>
  <si>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</si>
  <si>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</si>
  <si>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</si>
  <si>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</si>
  <si>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</si>
  <si>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</si>
  <si>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</si>
  <si>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</si>
  <si>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</si>
  <si>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</si>
  <si>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</si>
  <si>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</si>
  <si>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</si>
  <si>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</si>
  <si>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</si>
  <si>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</si>
  <si>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</si>
  <si>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</si>
  <si>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Interns and learners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</si>
</sst>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45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0.99129849801893011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8.7015019810699357E-3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1.5000000000000001E-2</v>
      </c>
      <c r="AB3">
        <f>SUMIFS(PERSALDATA!$G$2:$G$20871,PERSALDATA!$A$2:$A$20871,WORKING!A3,PERSALDATA!$D$2:$D$20871,WORKING!B3,PERSALDATA!$E$2:$E$20871,WORKING!C3,PERSALDATA!$F$2:$F$20871,"S&amp;W: BASIC SALARY (RES)")</f>
        <v>11</v>
      </c>
      <c r="AC3" s="2">
        <f>SUMIFS(PERSALDATA!$H$2:$H$20871,PERSALDATA!$A$2:$A$20871,WORKING!A3,PERSALDATA!$D$2:$D$20871,WORKING!B3,PERSALDATA!$E$2:$E$20871,WORKING!C3)</f>
        <v>693817</v>
      </c>
    </row>
    <row r="4" spans="1:29" x14ac:dyDescent="0.25">
      <c r="A4" s="2">
        <f>Results!$D$3</f>
        <v>45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0.66837643471256236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4.042585580460422E-2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5.7011037262289746E-2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8.8635394990724592E-2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7.1891439657369383E-2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3.013630755236265E-2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6.444110316431626E-4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4.2879118988443848E-2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7.2908056697936124E-2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7.0759420552237981E-2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6.975942055223798E-2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6.7759420552237964E-2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1.2805637350730136E-2</v>
      </c>
      <c r="AB4" s="2">
        <f>SUMIFS(PERSALDATA!$G$2:$G$20871,PERSALDATA!$A$2:$A$20871,WORKING!A4,PERSALDATA!$D$2:$D$20871,WORKING!B4,PERSALDATA!$E$2:$E$20871,WORKING!C4,PERSALDATA!$F$2:$F$20871,"S&amp;W: BASIC SALARY (RES)")</f>
        <v>11</v>
      </c>
      <c r="AC4" s="2">
        <f>SUMIFS(PERSALDATA!$H$2:$H$20871,PERSALDATA!$A$2:$A$20871,WORKING!A4,PERSALDATA!$D$2:$D$20871,WORKING!B4,PERSALDATA!$E$2:$E$20871,WORKING!C4)</f>
        <v>805107.26</v>
      </c>
    </row>
    <row r="5" spans="1:29" x14ac:dyDescent="0.25">
      <c r="A5" s="2">
        <f>Results!$D$3</f>
        <v>45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0.65345810977150787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5.4454842480958984E-2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9.4406109348009026E-2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1.7569326601921326E-3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6.2007331228799707E-2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8.4948715104879585E-2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4.8478725967875912E-2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4.8923343777679338E-4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6.9693238326754517E-2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6.9986048874951912E-2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6.8986048874951911E-2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6.6986048874951923E-2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1.2646459889781216E-2</v>
      </c>
      <c r="AB5" s="2">
        <f>SUMIFS(PERSALDATA!$G$2:$G$20871,PERSALDATA!$A$2:$A$20871,WORKING!A5,PERSALDATA!$D$2:$D$20871,WORKING!B5,PERSALDATA!$E$2:$E$20871,WORKING!C5,PERSALDATA!$F$2:$F$20871,"S&amp;W: BASIC SALARY (RES)")</f>
        <v>1</v>
      </c>
      <c r="AC5" s="2">
        <f>SUMIFS(PERSALDATA!$H$2:$H$20871,PERSALDATA!$A$2:$A$20871,WORKING!A5,PERSALDATA!$D$2:$D$20871,WORKING!B5,PERSALDATA!$E$2:$E$20871,WORKING!C5)</f>
        <v>142999.22</v>
      </c>
    </row>
    <row r="6" spans="1:29" x14ac:dyDescent="0.25">
      <c r="A6" s="2">
        <f>Results!$D$3</f>
        <v>45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0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0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7.5999999999999998E-2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7.0000000000000007E-2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6.9000000000000006E-2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6.7000000000000004E-2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1.4999999999999999E-2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5856</v>
      </c>
    </row>
    <row r="7" spans="1:29" x14ac:dyDescent="0.25">
      <c r="A7" s="2">
        <f>Results!$D$3</f>
        <v>45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0.61897570035086569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5.1787735311351904E-2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5.711740388218417E-2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8.3515991271739726E-2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4.2764865705621151E-2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8.0466068359312803E-2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3.9476522292678132E-2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3.2463575343158674E-4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2.5571077072814977E-2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7.2257785424832716E-2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7.0070298946762491E-2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6.9070298946762476E-2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6.7070298946762488E-2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1.3496896419881447E-2</v>
      </c>
      <c r="AB7" s="2">
        <f>SUMIFS(PERSALDATA!$G$2:$G$20871,PERSALDATA!$A$2:$A$20871,WORKING!A7,PERSALDATA!$D$2:$D$20871,WORKING!B7,PERSALDATA!$E$2:$E$20871,WORKING!C7,PERSALDATA!$F$2:$F$20871,"S&amp;W: BASIC SALARY (RES)")</f>
        <v>29</v>
      </c>
      <c r="AC7" s="2">
        <f>SUMIFS(PERSALDATA!$H$2:$H$20871,PERSALDATA!$A$2:$A$20871,WORKING!A7,PERSALDATA!$D$2:$D$20871,WORKING!B7,PERSALDATA!$E$2:$E$20871,WORKING!C7)</f>
        <v>6213517.6999999993</v>
      </c>
    </row>
    <row r="8" spans="1:29" x14ac:dyDescent="0.25">
      <c r="A8" s="2">
        <f>Results!$D$3</f>
        <v>45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0.70772726971062816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5.7194119547954413E-2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4.6788157618658906E-2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0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6.0495326544583526E-2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9.2003737947518649E-2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2.6427799465905396E-2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2.9465052845347903E-4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9.0689386362975029E-3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7.3291034592606094E-2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7.0439548321982168E-2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6.9439548321982181E-2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6.7439548321982179E-2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1.3386327979624564E-2</v>
      </c>
      <c r="AB8" s="2">
        <f>SUMIFS(PERSALDATA!$G$2:$G$20871,PERSALDATA!$A$2:$A$20871,WORKING!A8,PERSALDATA!$D$2:$D$20871,WORKING!B8,PERSALDATA!$E$2:$E$20871,WORKING!C8,PERSALDATA!$F$2:$F$20871,"S&amp;W: BASIC SALARY (RES)")</f>
        <v>8</v>
      </c>
      <c r="AC8" s="2">
        <f>SUMIFS(PERSALDATA!$H$2:$H$20871,PERSALDATA!$A$2:$A$20871,WORKING!A8,PERSALDATA!$D$2:$D$20871,WORKING!B8,PERSALDATA!$E$2:$E$20871,WORKING!C8)</f>
        <v>1958829</v>
      </c>
    </row>
    <row r="9" spans="1:29" x14ac:dyDescent="0.25">
      <c r="A9" s="2">
        <f>Results!$D$3</f>
        <v>45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0.70189527513117189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6.0101183190683187E-2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3.9412806787210014E-2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4.0243181350589526E-3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4.6266488409084032E-2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9.1245780024103024E-2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5.0480953114467417E-2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2.3957854214911833E-4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2.7669854446505542E-3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1.9149938074847156E-3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1.6516374139372461E-3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7.3652357521899234E-2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7.0299869258264189E-2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6.9299869258264174E-2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6.7299869258264186E-2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1.3711216893923354E-2</v>
      </c>
      <c r="AB9" s="2">
        <f>SUMIFS(PERSALDATA!$G$2:$G$20871,PERSALDATA!$A$2:$A$20871,WORKING!A9,PERSALDATA!$D$2:$D$20871,WORKING!B9,PERSALDATA!$E$2:$E$20871,WORKING!C9,PERSALDATA!$F$2:$F$20871,"S&amp;W: BASIC SALARY (RES)")</f>
        <v>17</v>
      </c>
      <c r="AC9" s="2">
        <f>SUMIFS(PERSALDATA!$H$2:$H$20871,PERSALDATA!$A$2:$A$20871,WORKING!A9,PERSALDATA!$D$2:$D$20871,WORKING!B9,PERSALDATA!$E$2:$E$20871,WORKING!C9)</f>
        <v>5377693.629999999</v>
      </c>
    </row>
    <row r="10" spans="1:29" x14ac:dyDescent="0.25">
      <c r="A10" s="2">
        <f>Results!$D$3</f>
        <v>45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0.72668958827330699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5.8656628687148417E-2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3.4232066425628711E-2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1.0122872644334181E-2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3.2966953420189057E-2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9.4469092645926706E-2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3.8398365907123415E-2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1.9377953838195486E-4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4.2706524579604558E-3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7.3859900299534861E-2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7.0152183637046561E-2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6.915218363704656E-2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6.7152183637046545E-2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1.3989108009237E-2</v>
      </c>
      <c r="AB10" s="2">
        <f>SUMIFS(PERSALDATA!$G$2:$G$20871,PERSALDATA!$A$2:$A$20871,WORKING!A10,PERSALDATA!$D$2:$D$20871,WORKING!B10,PERSALDATA!$E$2:$E$20871,WORKING!C10,PERSALDATA!$F$2:$F$20871,"S&amp;W: BASIC SALARY (RES)")</f>
        <v>15</v>
      </c>
      <c r="AC10" s="2">
        <f>SUMIFS(PERSALDATA!$H$2:$H$20871,PERSALDATA!$A$2:$A$20871,WORKING!A10,PERSALDATA!$D$2:$D$20871,WORKING!B10,PERSALDATA!$E$2:$E$20871,WORKING!C10)</f>
        <v>5836632.7500000009</v>
      </c>
    </row>
    <row r="11" spans="1:29" x14ac:dyDescent="0.25">
      <c r="A11" s="2">
        <f>Results!$D$3</f>
        <v>45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0.75265747615849676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0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3.8901438925324411E-2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0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5.5253010420269102E-2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9.7845244975544185E-2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5.5166433106749735E-2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1.7639641361583209E-4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7.381703278755912E-2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7.0439780767050805E-2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6.9439780767050804E-2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6.7439780767050803E-2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1.358503731361186E-2</v>
      </c>
      <c r="AB11" s="2">
        <f>SUMIFS(PERSALDATA!$G$2:$G$20871,PERSALDATA!$A$2:$A$20871,WORKING!A11,PERSALDATA!$D$2:$D$20871,WORKING!B11,PERSALDATA!$E$2:$E$20871,WORKING!C11,PERSALDATA!$F$2:$F$20871,"S&amp;W: BASIC SALARY (RES)")</f>
        <v>1</v>
      </c>
      <c r="AC11" s="2">
        <f>SUMIFS(PERSALDATA!$H$2:$H$20871,PERSALDATA!$A$2:$A$20871,WORKING!A11,PERSALDATA!$D$2:$D$20871,WORKING!B11,PERSALDATA!$E$2:$E$20871,WORKING!C11)</f>
        <v>231353.91</v>
      </c>
    </row>
    <row r="12" spans="1:29" x14ac:dyDescent="0.25">
      <c r="A12" s="2">
        <f>Results!$D$3</f>
        <v>45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0.72781388977679551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6.3266190463974248E-2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2.2675081918340768E-2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5.4534038579081125E-3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2.7730902009649824E-2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9.460468400986792E-2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4.754382987774379E-2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1.3260373908881534E-4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3.5609443203962209E-5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9.7077962738042565E-3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1.0360086296229564E-3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7.4664926402341208E-2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7.018921271096136E-2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6.9189212710961345E-2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6.7189212710961385E-2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1.4241921184993813E-2</v>
      </c>
      <c r="AB12" s="2">
        <f>SUMIFS(PERSALDATA!$G$2:$G$20871,PERSALDATA!$A$2:$A$20871,WORKING!A12,PERSALDATA!$D$2:$D$20871,WORKING!B12,PERSALDATA!$E$2:$E$20871,WORKING!C12,PERSALDATA!$F$2:$F$20871,"S&amp;W: BASIC SALARY (RES)")</f>
        <v>17</v>
      </c>
      <c r="AC12" s="2">
        <f>SUMIFS(PERSALDATA!$H$2:$H$20871,PERSALDATA!$A$2:$A$20871,WORKING!A12,PERSALDATA!$D$2:$D$20871,WORKING!B12,PERSALDATA!$E$2:$E$20871,WORKING!C12)</f>
        <v>8573287.6599999983</v>
      </c>
    </row>
    <row r="13" spans="1:29" x14ac:dyDescent="0.25">
      <c r="A13" s="2">
        <f>Results!$D$3</f>
        <v>45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0.71003964987682378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5.1452286130826856E-2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0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1.0866843826901569E-2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8.0120964895566596E-2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1.5803775678949489E-2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1.2096786464960033E-4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0.13159551172628201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1.4835182824626732E-2</v>
      </c>
      <c r="AB13" s="2">
        <f>SUMIFS(PERSALDATA!$G$2:$G$20871,PERSALDATA!$A$2:$A$20871,WORKING!A13,PERSALDATA!$D$2:$D$20871,WORKING!B13,PERSALDATA!$E$2:$E$20871,WORKING!C13,PERSALDATA!$F$2:$F$20871,"S&amp;W: BASIC SALARY (RES)")</f>
        <v>2</v>
      </c>
      <c r="AC13" s="2">
        <f>SUMIFS(PERSALDATA!$H$2:$H$20871,PERSALDATA!$A$2:$A$20871,WORKING!A13,PERSALDATA!$D$2:$D$20871,WORKING!B13,PERSALDATA!$E$2:$E$20871,WORKING!C13)</f>
        <v>1347217.3</v>
      </c>
    </row>
    <row r="14" spans="1:29" x14ac:dyDescent="0.25">
      <c r="A14" s="2">
        <f>Results!$D$3</f>
        <v>45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0.70504669369296946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5.1417294431014587E-2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8.3559307334471981E-3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1.9599198906928039E-3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1.8887362904140406E-2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9.1693017964906434E-2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2.2418654178202008E-2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9.7436321686935316E-5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8.8376395325655041E-2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1.1747294557285284E-2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1.4589889050610882E-2</v>
      </c>
      <c r="AB14" s="2">
        <f>SUMIFS(PERSALDATA!$G$2:$G$20871,PERSALDATA!$A$2:$A$20871,WORKING!A14,PERSALDATA!$D$2:$D$20871,WORKING!B14,PERSALDATA!$E$2:$E$20871,WORKING!C14,PERSALDATA!$F$2:$F$20871,"S&amp;W: BASIC SALARY (RES)")</f>
        <v>30</v>
      </c>
      <c r="AC14" s="2">
        <f>SUMIFS(PERSALDATA!$H$2:$H$20871,PERSALDATA!$A$2:$A$20871,WORKING!A14,PERSALDATA!$D$2:$D$20871,WORKING!B14,PERSALDATA!$E$2:$E$20871,WORKING!C14)</f>
        <v>23813912.099999983</v>
      </c>
    </row>
    <row r="15" spans="1:29" x14ac:dyDescent="0.25">
      <c r="A15" s="2">
        <f>Results!$D$3</f>
        <v>45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0.63031806542003233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4.4776452998125549E-2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1.2282116924413885E-2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1.3959913960234546E-2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8.0094087186394408E-2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3.409971366907519E-3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7.6004561271847683E-5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0.20486162345902212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1.022176412359777E-2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1.4605229468311196E-2</v>
      </c>
      <c r="AB15" s="2">
        <f>SUMIFS(PERSALDATA!$G$2:$G$20871,PERSALDATA!$A$2:$A$20871,WORKING!A15,PERSALDATA!$D$2:$D$20871,WORKING!B15,PERSALDATA!$E$2:$E$20871,WORKING!C15,PERSALDATA!$F$2:$F$20871,"S&amp;W: BASIC SALARY (RES)")</f>
        <v>17</v>
      </c>
      <c r="AC15" s="2">
        <f>SUMIFS(PERSALDATA!$H$2:$H$20871,PERSALDATA!$A$2:$A$20871,WORKING!A15,PERSALDATA!$D$2:$D$20871,WORKING!B15,PERSALDATA!$E$2:$E$20871,WORKING!C15)</f>
        <v>15187772.690000001</v>
      </c>
    </row>
    <row r="16" spans="1:29" x14ac:dyDescent="0.25">
      <c r="A16" s="2">
        <f>Results!$D$3</f>
        <v>45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0.62768456479175339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5.6731469074136461E-2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3.1895835347318176E-3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6.7231908545376745E-3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8.1598839584209659E-2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9.2674352513437905E-3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4.121216439003379E-5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0.1934502825500041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2.1313422194893013E-2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1.4850690201695108E-2</v>
      </c>
      <c r="AB16" s="2">
        <f>SUMIFS(PERSALDATA!$G$2:$G$20871,PERSALDATA!$A$2:$A$20871,WORKING!A16,PERSALDATA!$D$2:$D$20871,WORKING!B16,PERSALDATA!$E$2:$E$20871,WORKING!C16,PERSALDATA!$F$2:$F$20871,"S&amp;W: BASIC SALARY (RES)")</f>
        <v>2</v>
      </c>
      <c r="AC16" s="2">
        <f>SUMIFS(PERSALDATA!$H$2:$H$20871,PERSALDATA!$A$2:$A$20871,WORKING!A16,PERSALDATA!$D$2:$D$20871,WORKING!B16,PERSALDATA!$E$2:$E$20871,WORKING!C16)</f>
        <v>3395114.0900000003</v>
      </c>
    </row>
    <row r="17" spans="1:29" x14ac:dyDescent="0.25">
      <c r="A17" s="2">
        <f>Results!$D$3</f>
        <v>45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0.65978356282803607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3.6332990901549296E-2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2.0487870446971312E-2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3.2039193928988458E-3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8.5117634530187156E-2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4.7599532963942076E-6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0.19287399543621447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2.195266510846461E-3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1.4644551753102501E-2</v>
      </c>
      <c r="AB17" s="2">
        <f>SUMIFS(PERSALDATA!$G$2:$G$20871,PERSALDATA!$A$2:$A$20871,WORKING!A17,PERSALDATA!$D$2:$D$20871,WORKING!B17,PERSALDATA!$E$2:$E$20871,WORKING!C17,PERSALDATA!$F$2:$F$20871,"S&amp;W: BASIC SALARY (RES)")</f>
        <v>14</v>
      </c>
      <c r="AC17" s="2">
        <f>SUMIFS(PERSALDATA!$H$2:$H$20871,PERSALDATA!$A$2:$A$20871,WORKING!A17,PERSALDATA!$D$2:$D$20871,WORKING!B17,PERSALDATA!$E$2:$E$20871,WORKING!C17)</f>
        <v>14697623.200000003</v>
      </c>
    </row>
    <row r="18" spans="1:29" x14ac:dyDescent="0.25">
      <c r="A18" s="2">
        <f>Results!$D$3</f>
        <v>45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0.60049921290539077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2.4307684666769816E-2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2.0594673894979341E-3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7.8064773015254468E-2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8.7005035367919945E-6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0.29506016151955028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1.496897748160448E-2</v>
      </c>
      <c r="AB18" s="2">
        <f>SUMIFS(PERSALDATA!$G$2:$G$20871,PERSALDATA!$A$2:$A$20871,WORKING!A18,PERSALDATA!$D$2:$D$20871,WORKING!B18,PERSALDATA!$E$2:$E$20871,WORKING!C18,PERSALDATA!$F$2:$F$20871,"S&amp;W: BASIC SALARY (RES)")</f>
        <v>1</v>
      </c>
      <c r="AC18" s="2">
        <f>SUMIFS(PERSALDATA!$H$2:$H$20871,PERSALDATA!$A$2:$A$20871,WORKING!A18,PERSALDATA!$D$2:$D$20871,WORKING!B18,PERSALDATA!$E$2:$E$20871,WORKING!C18)</f>
        <v>2010228.4800000002</v>
      </c>
    </row>
    <row r="19" spans="1:29" x14ac:dyDescent="0.25">
      <c r="A19" s="2">
        <f>Results!$D$3</f>
        <v>45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45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0.99774019688720228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2.2598031127976682E-3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6.9999999999999993E-2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1.4999999999999998E-2</v>
      </c>
      <c r="AB20" s="2">
        <f>SUMIFS(PERSALDATA!$G$2:$G$20871,PERSALDATA!$A$2:$A$20871,WORKING!A20,PERSALDATA!$D$2:$D$20871,WORKING!B20,PERSALDATA!$E$2:$E$20871,WORKING!C20,PERSALDATA!$F$2:$F$20871,"S&amp;W: BASIC SALARY (RES)")</f>
        <v>1</v>
      </c>
      <c r="AC20" s="2">
        <f>SUMIFS(PERSALDATA!$H$2:$H$20871,PERSALDATA!$A$2:$A$20871,WORKING!A20,PERSALDATA!$D$2:$D$20871,WORKING!B20,PERSALDATA!$E$2:$E$20871,WORKING!C20)</f>
        <v>254561.99999999997</v>
      </c>
    </row>
    <row r="21" spans="1:29" x14ac:dyDescent="0.25">
      <c r="A21" s="2">
        <f>Results!$D$3</f>
        <v>45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0.80805132880538022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2.605511973415971E-2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6.0124997005679706E-2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0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0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0.10504524119715167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7.2331325762864515E-4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7.1430500227568347E-2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6.9398750029943196E-2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6.8398750029943195E-2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6.6398750029943207E-2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1.4087275346050372E-2</v>
      </c>
      <c r="AB21" s="2">
        <f>SUMIFS(PERSALDATA!$G$2:$G$20871,PERSALDATA!$A$2:$A$20871,WORKING!A21,PERSALDATA!$D$2:$D$20871,WORKING!B21,PERSALDATA!$E$2:$E$20871,WORKING!C21,PERSALDATA!$F$2:$F$20871,"S&amp;W: BASIC SALARY (RES)")</f>
        <v>2</v>
      </c>
      <c r="AC21" s="2">
        <f>SUMIFS(PERSALDATA!$H$2:$H$20871,PERSALDATA!$A$2:$A$20871,WORKING!A21,PERSALDATA!$D$2:$D$20871,WORKING!B21,PERSALDATA!$E$2:$E$20871,WORKING!C21)</f>
        <v>104781.71</v>
      </c>
    </row>
    <row r="22" spans="1:29" x14ac:dyDescent="0.25">
      <c r="A22" s="2">
        <f>Results!$D$3</f>
        <v>45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0.72012097982282752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5.9341037975267553E-2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7.526741362140868E-2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0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9.3614403228024223E-2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5.1168599773124511E-2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4.8756557934756951E-4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7.0279676564772936E-2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6.924732586378593E-2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6.8247325863785915E-2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6.6247325863785914E-2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1.3863675311988656E-2</v>
      </c>
      <c r="AB22" s="2">
        <f>SUMIFS(PERSALDATA!$G$2:$G$20871,PERSALDATA!$A$2:$A$20871,WORKING!A22,PERSALDATA!$D$2:$D$20871,WORKING!B22,PERSALDATA!$E$2:$E$20871,WORKING!C22,PERSALDATA!$F$2:$F$20871,"S&amp;W: BASIC SALARY (RES)")</f>
        <v>1</v>
      </c>
      <c r="AC22" s="2">
        <f>SUMIFS(PERSALDATA!$H$2:$H$20871,PERSALDATA!$A$2:$A$20871,WORKING!A22,PERSALDATA!$D$2:$D$20871,WORKING!B22,PERSALDATA!$E$2:$E$20871,WORKING!C22)</f>
        <v>143488.38999999998</v>
      </c>
    </row>
    <row r="23" spans="1:29" x14ac:dyDescent="0.25">
      <c r="A23" s="2">
        <f>Results!$D$3</f>
        <v>45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45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0.72478416612774144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5.6190601985829224E-2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3.7916569300101621E-2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4.6203032936097906E-2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9.4221066129024617E-2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4.0317903644043557E-2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3.6665987716168446E-4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7.3765183194297645E-2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7.0313879801040466E-2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6.9313879801040451E-2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6.7313879801040463E-2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1.373270606829958E-2</v>
      </c>
      <c r="AB24" s="2">
        <f>SUMIFS(PERSALDATA!$G$2:$G$20871,PERSALDATA!$A$2:$A$20871,WORKING!A24,PERSALDATA!$D$2:$D$20871,WORKING!B24,PERSALDATA!$E$2:$E$20871,WORKING!C24,PERSALDATA!$F$2:$F$20871,"S&amp;W: BASIC SALARY (RES)")</f>
        <v>9</v>
      </c>
      <c r="AC24" s="2">
        <f>SUMIFS(PERSALDATA!$H$2:$H$20871,PERSALDATA!$A$2:$A$20871,WORKING!A24,PERSALDATA!$D$2:$D$20871,WORKING!B24,PERSALDATA!$E$2:$E$20871,WORKING!C24)</f>
        <v>1653630.6199999999</v>
      </c>
    </row>
    <row r="25" spans="1:29" x14ac:dyDescent="0.25">
      <c r="A25" s="2">
        <f>Results!$D$3</f>
        <v>45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0.71408008591045191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5.525529792545894E-2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5.111254627267231E-2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6.4931640187965212E-2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9.2829599694790446E-2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2.1498965815477899E-2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2.9186419318328526E-4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7.3024489445908405E-2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7.0462849140092765E-2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6.9462849140092764E-2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6.7462849140092762E-2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1.3254959240192689E-2</v>
      </c>
      <c r="AB25" s="2">
        <f>SUMIFS(PERSALDATA!$G$2:$G$20871,PERSALDATA!$A$2:$A$20871,WORKING!A25,PERSALDATA!$D$2:$D$20871,WORKING!B25,PERSALDATA!$E$2:$E$20871,WORKING!C25,PERSALDATA!$F$2:$F$20871,"S&amp;W: BASIC SALARY (RES)")</f>
        <v>8</v>
      </c>
      <c r="AC25" s="2">
        <f>SUMIFS(PERSALDATA!$H$2:$H$20871,PERSALDATA!$A$2:$A$20871,WORKING!A25,PERSALDATA!$D$2:$D$20871,WORKING!B25,PERSALDATA!$E$2:$E$20871,WORKING!C25)</f>
        <v>1817557.66</v>
      </c>
    </row>
    <row r="26" spans="1:29" x14ac:dyDescent="0.25">
      <c r="A26" s="2">
        <f>Results!$D$3</f>
        <v>45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0.72209466686072399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5.7019606814629337E-2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3.532056795413048E-2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5.0234098130022838E-2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9.3871690253132717E-2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3.8539099755807812E-2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2.4578357708916461E-4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2.6744866544636562E-3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7.4018914209306397E-2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7.0400305792409051E-2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6.9400305792409051E-2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6.7400305792409035E-2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1.3712993255081364E-2</v>
      </c>
      <c r="AB26" s="2">
        <f>SUMIFS(PERSALDATA!$G$2:$G$20871,PERSALDATA!$A$2:$A$20871,WORKING!A26,PERSALDATA!$D$2:$D$20871,WORKING!B26,PERSALDATA!$E$2:$E$20871,WORKING!C26,PERSALDATA!$F$2:$F$20871,"S&amp;W: BASIC SALARY (RES)")</f>
        <v>12</v>
      </c>
      <c r="AC26" s="2">
        <f>SUMIFS(PERSALDATA!$H$2:$H$20871,PERSALDATA!$A$2:$A$20871,WORKING!A26,PERSALDATA!$D$2:$D$20871,WORKING!B26,PERSALDATA!$E$2:$E$20871,WORKING!C26)</f>
        <v>3321011.15</v>
      </c>
    </row>
    <row r="27" spans="1:29" x14ac:dyDescent="0.25">
      <c r="A27" s="2">
        <f>Results!$D$3</f>
        <v>45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45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0.73322833132432363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6.1102360943693639E-2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3.1686299153740008E-2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4.2022419063735196E-2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9.5319290063800508E-2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3.6469456544598759E-2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1.7184290610818998E-4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7.4180155131208042E-2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7.0313473294418644E-2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6.9313473294418629E-2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6.7313473294418627E-2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1.3891791583146247E-2</v>
      </c>
      <c r="AB28" s="2">
        <f>SUMIFS(PERSALDATA!$G$2:$G$20871,PERSALDATA!$A$2:$A$20871,WORKING!A28,PERSALDATA!$D$2:$D$20871,WORKING!B28,PERSALDATA!$E$2:$E$20871,WORKING!C28,PERSALDATA!$F$2:$F$20871,"S&amp;W: BASIC SALARY (RES)")</f>
        <v>1</v>
      </c>
      <c r="AC28" s="2">
        <f>SUMIFS(PERSALDATA!$H$2:$H$20871,PERSALDATA!$A$2:$A$20871,WORKING!A28,PERSALDATA!$D$2:$D$20871,WORKING!B28,PERSALDATA!$E$2:$E$20871,WORKING!C28)</f>
        <v>407116.02</v>
      </c>
    </row>
    <row r="29" spans="1:29" x14ac:dyDescent="0.25">
      <c r="A29" s="2">
        <f>Results!$D$3</f>
        <v>45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0.76950445597679973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6.1345956098712219E-2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2.4592694544692869E-2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4.6177892805238194E-4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2.8143787024261371E-2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0.10003515798993252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1.119423215928058E-2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1.431993444278203E-4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4.5787379338405503E-3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7.4524968232943009E-2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7.0176229859916991E-2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6.9176229859916991E-2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6.7176229859917003E-2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1.420680478629927E-2</v>
      </c>
      <c r="AB29" s="2">
        <f>SUMIFS(PERSALDATA!$G$2:$G$20871,PERSALDATA!$A$2:$A$20871,WORKING!A29,PERSALDATA!$D$2:$D$20871,WORKING!B29,PERSALDATA!$E$2:$E$20871,WORKING!C29,PERSALDATA!$F$2:$F$20871,"S&amp;W: BASIC SALARY (RES)")</f>
        <v>19</v>
      </c>
      <c r="AC29" s="2">
        <f>SUMIFS(PERSALDATA!$H$2:$H$20871,PERSALDATA!$A$2:$A$20871,WORKING!A29,PERSALDATA!$D$2:$D$20871,WORKING!B29,PERSALDATA!$E$2:$E$20871,WORKING!C29)</f>
        <v>9933844.3599999994</v>
      </c>
    </row>
    <row r="30" spans="1:29" x14ac:dyDescent="0.25">
      <c r="A30" s="2">
        <f>Results!$D$3</f>
        <v>45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0.69999894261575712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0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0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0.30000105738424288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1.4999999999999999E-2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1891.46</v>
      </c>
    </row>
    <row r="31" spans="1:29" x14ac:dyDescent="0.25">
      <c r="A31" s="2">
        <f>Results!$D$3</f>
        <v>45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0.71294190694516402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5.6739547308884759E-2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4.2680887779701143E-3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1.2359456135357819E-4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1.605634246266225E-2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9.1796076947272334E-2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2.0715369788366848E-2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9.7267774826985886E-5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9.700408826562304E-2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2.5771716787628863E-4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1.469367451476811E-2</v>
      </c>
      <c r="AB31" s="2">
        <f>SUMIFS(PERSALDATA!$G$2:$G$20871,PERSALDATA!$A$2:$A$20871,WORKING!A31,PERSALDATA!$D$2:$D$20871,WORKING!B31,PERSALDATA!$E$2:$E$20871,WORKING!C31,PERSALDATA!$F$2:$F$20871,"S&amp;W: BASIC SALARY (RES)")</f>
        <v>46</v>
      </c>
      <c r="AC31" s="2">
        <f>SUMIFS(PERSALDATA!$H$2:$H$20871,PERSALDATA!$A$2:$A$20871,WORKING!A31,PERSALDATA!$D$2:$D$20871,WORKING!B31,PERSALDATA!$E$2:$E$20871,WORKING!C31)</f>
        <v>34464137.849999987</v>
      </c>
    </row>
    <row r="32" spans="1:29" x14ac:dyDescent="0.25">
      <c r="A32" s="2">
        <f>Results!$D$3</f>
        <v>45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0.62455913741226121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4.5370498629433174E-2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1.1697434838982567E-2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1.6019572772683718E-2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8.1192487493335269E-2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1.1214406746095079E-2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7.2867036463384428E-5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0.20522045777228681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2.1135557771477594E-3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2.539581521310931E-3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1.4583151880278053E-2</v>
      </c>
      <c r="AB32" s="2">
        <f>SUMIFS(PERSALDATA!$G$2:$G$20871,PERSALDATA!$A$2:$A$20871,WORKING!A32,PERSALDATA!$D$2:$D$20871,WORKING!B32,PERSALDATA!$E$2:$E$20871,WORKING!C32,PERSALDATA!$F$2:$F$20871,"S&amp;W: BASIC SALARY (RES)")</f>
        <v>17</v>
      </c>
      <c r="AC32" s="2">
        <f>SUMIFS(PERSALDATA!$H$2:$H$20871,PERSALDATA!$A$2:$A$20871,WORKING!A32,PERSALDATA!$D$2:$D$20871,WORKING!B32,PERSALDATA!$E$2:$E$20871,WORKING!C32)</f>
        <v>16321783.590000004</v>
      </c>
    </row>
    <row r="33" spans="1:29" x14ac:dyDescent="0.25">
      <c r="A33" s="2">
        <f>Results!$D$3</f>
        <v>45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0.65941387972458698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4.6475453828387893E-2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3.1836288087671171E-3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7.2586736839890271E-3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8.5723657662580804E-2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6.236346800917731E-5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0.17306135655243646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2.0296540353375109E-2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4.5244459178674767E-3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1.4842430010588522E-2</v>
      </c>
      <c r="AB33" s="2">
        <f>SUMIFS(PERSALDATA!$G$2:$G$20871,PERSALDATA!$A$2:$A$20871,WORKING!A33,PERSALDATA!$D$2:$D$20871,WORKING!B33,PERSALDATA!$E$2:$E$20871,WORKING!C33,PERSALDATA!$F$2:$F$20871,"S&amp;W: BASIC SALARY (RES)")</f>
        <v>4</v>
      </c>
      <c r="AC33" s="2">
        <f>SUMIFS(PERSALDATA!$H$2:$H$20871,PERSALDATA!$A$2:$A$20871,WORKING!A33,PERSALDATA!$D$2:$D$20871,WORKING!B33,PERSALDATA!$E$2:$E$20871,WORKING!C33)</f>
        <v>3926337.1299999994</v>
      </c>
    </row>
    <row r="34" spans="1:29" x14ac:dyDescent="0.25">
      <c r="A34" s="2">
        <f>Results!$D$3</f>
        <v>45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0.57082962723736219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2.266056348969131E-2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1.0387083070770957E-2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7.4207753193637357E-2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4.7125832142097024E-5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0.22506992622045463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8.5434388083464083E-2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1.1363532872477366E-2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1.4843486866456304E-2</v>
      </c>
      <c r="AB34" s="2">
        <f>SUMIFS(PERSALDATA!$G$2:$G$20871,PERSALDATA!$A$2:$A$20871,WORKING!A34,PERSALDATA!$D$2:$D$20871,WORKING!B34,PERSALDATA!$E$2:$E$20871,WORKING!C34,PERSALDATA!$F$2:$F$20871,"S&amp;W: BASIC SALARY (RES)")</f>
        <v>2</v>
      </c>
      <c r="AC34" s="2">
        <f>SUMIFS(PERSALDATA!$H$2:$H$20871,PERSALDATA!$A$2:$A$20871,WORKING!A34,PERSALDATA!$D$2:$D$20871,WORKING!B34,PERSALDATA!$E$2:$E$20871,WORKING!C34)</f>
        <v>2969072.2399999998</v>
      </c>
    </row>
    <row r="35" spans="1:29" x14ac:dyDescent="0.25">
      <c r="A35" s="2">
        <f>Results!$D$3</f>
        <v>45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45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45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45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45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45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45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45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45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0.68723518484444435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5.7481954971236336E-2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4.5369877929822881E-2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7.6883459066708001E-2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8.9339977499901302E-2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4.3454428898259727E-2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2.3511678962743766E-4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7.3628257704267369E-2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7.0699553106702395E-2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6.9699553106702394E-2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6.7699553106702393E-2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1.3162673193207623E-2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297554.25</v>
      </c>
    </row>
    <row r="44" spans="1:29" x14ac:dyDescent="0.25">
      <c r="A44" s="2">
        <f>Results!$D$3</f>
        <v>45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45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45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45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45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45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45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45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45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45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45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45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45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45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45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45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45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45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45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45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45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45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45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45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45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45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45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45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45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45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45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45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45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45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45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45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45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45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45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45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45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45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45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45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45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45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45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45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45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45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45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45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45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45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45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45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45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45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45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45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45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45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45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45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45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45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45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45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45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45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45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45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45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45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45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45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45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45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45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45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45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45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45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45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45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45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45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45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45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45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45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45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45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45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45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45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45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45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45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45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45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45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45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45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45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45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45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45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45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45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45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45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45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45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45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45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45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45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45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45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45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45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45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45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45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45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45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45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45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45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45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45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45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45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45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45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45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45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45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45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45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45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45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45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45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45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45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45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45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45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45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45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45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45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45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45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45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45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45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45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45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45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45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45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45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45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45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45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45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45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45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45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45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45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45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45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45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45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45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45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45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45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45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45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45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45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45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45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45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45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45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45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45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45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45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45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45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45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45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45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45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45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45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45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45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45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45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45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45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45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45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45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45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45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45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45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45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45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45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45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45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45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45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45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45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45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45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45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45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45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45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45</v>
      </c>
      <c r="E3" s="74" t="str">
        <f>INDEX(MAPs!$I$7:$J$54,MATCH(Results!$D$3,MAPs!$I$7:$I$54,0),2)</f>
        <v>Public Service Commission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86.31845238095238</v>
      </c>
      <c r="N9" s="148">
        <f>IFERROR(SUMIFS('Employee Profile (2)'!C$4:C$50,'Employee Profile (2)'!$B$4:$B$50,Results!$D$3),"")</f>
        <v>0.28869047619047616</v>
      </c>
      <c r="O9" s="150" t="s">
        <v>620</v>
      </c>
      <c r="P9" s="143">
        <f>IFERROR(INDEX('Employee Profile (2)'!$AC$4:$AC$50,MATCH(Results!$D$3,'Employee Profile (2)'!$B$4:$B$50,0))*$Q9,"")</f>
        <v>178.86607142857142</v>
      </c>
      <c r="Q9" s="148">
        <f>IFERROR(SUMIFS('Employee Profile (2)'!J$4:J$50,'Employee Profile (2)'!$B$4:$B$50,Results!$D$3),"")</f>
        <v>0.5982142857142857</v>
      </c>
      <c r="R9" s="150" t="s">
        <v>627</v>
      </c>
      <c r="S9" s="144">
        <f>IFERROR(INDEX('Employee Profile (2)'!$AC$4:$AC$50,MATCH(Results!$D$3,'Employee Profile (2)'!$B$4:$B$50,0))*$T9,"")</f>
        <v>3.5595238095238093</v>
      </c>
      <c r="T9" s="147">
        <f>IFERROR(SUMIFS('Employee Profile (2)'!N$4:N$50,'Employee Profile (2)'!$B$4:$B$50,Results!$D$3),"")</f>
        <v>1.1904761904761904E-2</v>
      </c>
      <c r="U9" s="150" t="s">
        <v>632</v>
      </c>
      <c r="V9" s="144">
        <f>IFERROR(INDEX('Employee Profile (2)'!$AC$4:$AC$50,MATCH(Results!$D$3,'Employee Profile (2)'!$B$4:$B$50,0))*$W9,"")</f>
        <v>152.16964285714286</v>
      </c>
      <c r="W9" s="147">
        <f>IFERROR(SUMIFS('Employee Profile (2)'!S$4:S$50,'Employee Profile (2)'!$B$4:$B$50,Results!$D$3),"")</f>
        <v>0.5089285714285714</v>
      </c>
      <c r="X9" s="150" t="s">
        <v>635</v>
      </c>
      <c r="Y9" s="144">
        <f>IFERROR(INDEX('Employee Profile (2)'!$AC$4:$AC$50,MATCH(Results!$D$3,'Employee Profile (2)'!$B$4:$B$50,0))*$Z9,"")</f>
        <v>228.69940476190476</v>
      </c>
      <c r="Z9" s="147">
        <f>IFERROR(SUMIFS('Employee Profile (2)'!V$4:V$50,'Employee Profile (2)'!$B$4:$B$50,Results!$D$3),"")</f>
        <v>0.76488095238095233</v>
      </c>
      <c r="AA9" s="150" t="s">
        <v>675</v>
      </c>
      <c r="AB9" s="144">
        <f>IFERROR(SUMIFS('Employee Profile (2)'!$AD$4:$AD$50,'Employee Profile (2)'!$B$4:$B$50,Results!$D$3),"")</f>
        <v>176</v>
      </c>
      <c r="AC9" s="147">
        <f>IFERROR(SUMIFS('Employee Profile (2)'!$AE$4:$AE$50,'Employee Profile (2)'!$B$4:$B$50,Results!$D$3),"")</f>
        <v>0.58862876254180607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130.8125</v>
      </c>
      <c r="N10" s="148">
        <f>IFERROR(SUMIFS('Employee Profile (2)'!D$4:D$50,'Employee Profile (2)'!$B$4:$B$50,Results!$D$3),"")</f>
        <v>0.4375</v>
      </c>
      <c r="O10" s="150" t="s">
        <v>621</v>
      </c>
      <c r="P10" s="143">
        <f>IFERROR(INDEX('Employee Profile (2)'!$AC$4:$AC$50,MATCH(Results!$D$3,'Employee Profile (2)'!$B$4:$B$50,0))*$Q10,"")</f>
        <v>71.19047619047619</v>
      </c>
      <c r="Q10" s="148">
        <f>IFERROR(SUMIFS('Employee Profile (2)'!K$4:K$50,'Employee Profile (2)'!$B$4:$B$50,Results!$D$3),"")</f>
        <v>0.23809523809523808</v>
      </c>
      <c r="R10" s="150" t="s">
        <v>628</v>
      </c>
      <c r="S10" s="144">
        <f>IFERROR(INDEX('Employee Profile (2)'!$AC$4:$AC$50,MATCH(Results!$D$3,'Employee Profile (2)'!$B$4:$B$50,0))*$T10,"")</f>
        <v>55.172619047619051</v>
      </c>
      <c r="T10" s="147">
        <f>IFERROR(SUMIFS('Employee Profile (2)'!O$4:O$50,'Employee Profile (2)'!$B$4:$B$50,Results!$D$3),"")</f>
        <v>0.18452380952380953</v>
      </c>
      <c r="U10" s="150" t="s">
        <v>633</v>
      </c>
      <c r="V10" s="144">
        <f>IFERROR(INDEX('Employee Profile (2)'!$AC$4:$AC$50,MATCH(Results!$D$3,'Employee Profile (2)'!$B$4:$B$50,0))*$W10,"")</f>
        <v>119.24404761904762</v>
      </c>
      <c r="W10" s="147">
        <f>IFERROR(SUMIFS('Employee Profile (2)'!T$4:T$50,'Employee Profile (2)'!$B$4:$B$50,Results!$D$3),"")</f>
        <v>0.39880952380952384</v>
      </c>
      <c r="X10" s="150" t="s">
        <v>636</v>
      </c>
      <c r="Y10" s="144">
        <f>IFERROR(INDEX('Employee Profile (2)'!$AC$4:$AC$50,MATCH(Results!$D$3,'Employee Profile (2)'!$B$4:$B$50,0))*$Z10,"")</f>
        <v>14.238095238095237</v>
      </c>
      <c r="Z10" s="147">
        <f>IFERROR(SUMIFS('Employee Profile (2)'!W$4:W$50,'Employee Profile (2)'!$B$4:$B$50,Results!$D$3),"")</f>
        <v>4.7619047619047616E-2</v>
      </c>
      <c r="AA10" s="150" t="s">
        <v>676</v>
      </c>
      <c r="AB10" s="144">
        <f>IFERROR(INDEX('Employee Profile (2)'!$AC$4:$AC$50,MATCH(Results!$D$3,'Employee Profile (2)'!$B$4:$B$50))-$AB$9,"")</f>
        <v>123</v>
      </c>
      <c r="AC10" s="147">
        <f>IFERROR(100%-$AC$9,"")</f>
        <v>0.41137123745819393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21.357142857142858</v>
      </c>
      <c r="N11" s="148">
        <f>IFERROR(SUMIFS('Employee Profile (2)'!E$4:E$50,'Employee Profile (2)'!$B$4:$B$50,Results!$D$3),"")</f>
        <v>7.1428571428571425E-2</v>
      </c>
      <c r="O11" s="150" t="s">
        <v>622</v>
      </c>
      <c r="P11" s="143">
        <f>IFERROR(INDEX('Employee Profile (2)'!$AC$4:$AC$50,MATCH(Results!$D$3,'Employee Profile (2)'!$B$4:$B$50,0))*$Q11,"")</f>
        <v>36.485119047619044</v>
      </c>
      <c r="Q11" s="148">
        <f>IFERROR(SUMIFS('Employee Profile (2)'!L$4:L$50,'Employee Profile (2)'!$B$4:$B$50,Results!$D$3),"")</f>
        <v>0.12202380952380952</v>
      </c>
      <c r="R11" s="150" t="s">
        <v>629</v>
      </c>
      <c r="S11" s="144">
        <f>IFERROR(INDEX('Employee Profile (2)'!$AC$4:$AC$50,MATCH(Results!$D$3,'Employee Profile (2)'!$B$4:$B$50,0))*$T11,"")</f>
        <v>165.51785714285714</v>
      </c>
      <c r="T11" s="147">
        <f>IFERROR(SUMIFS('Employee Profile (2)'!P$4:P$50,'Employee Profile (2)'!$B$4:$B$50,Results!$D$3),"")</f>
        <v>0.5535714285714286</v>
      </c>
      <c r="U11" s="150" t="s">
        <v>53</v>
      </c>
      <c r="V11" s="144">
        <f>IFERROR(INDEX('Employee Profile (2)'!$AC$4:$AC$50,MATCH(Results!$D$3,'Employee Profile (2)'!$B$4:$B$50,0))*$W11,"")</f>
        <v>27.586309523809526</v>
      </c>
      <c r="W11" s="147">
        <f>IFERROR(SUMIFS('Employee Profile (2)'!U$4:U$50,'Employee Profile (2)'!$B$4:$B$50,Results!$D$3),"")</f>
        <v>9.2261904761904767E-2</v>
      </c>
      <c r="X11" s="150" t="s">
        <v>637</v>
      </c>
      <c r="Y11" s="144">
        <f>IFERROR(INDEX('Employee Profile (2)'!$AC$4:$AC$50,MATCH(Results!$D$3,'Employee Profile (2)'!$B$4:$B$50,0))*$Z11,"")</f>
        <v>8.0089285714285712</v>
      </c>
      <c r="Z11" s="147">
        <f>IFERROR(SUMIFS('Employee Profile (2)'!X$4:X$50,'Employee Profile (2)'!$B$4:$B$50,Results!$D$3),"")</f>
        <v>2.6785714285714284E-2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21.357142857142858</v>
      </c>
      <c r="N12" s="148">
        <f>IFERROR(SUMIFS('Employee Profile (2)'!F$4:F$50,'Employee Profile (2)'!$B$4:$B$50,Results!$D$3),"")</f>
        <v>7.1428571428571425E-2</v>
      </c>
      <c r="O12" s="150" t="s">
        <v>623</v>
      </c>
      <c r="P12" s="143">
        <f>IFERROR(INDEX('Employee Profile (2)'!$AC$4:$AC$50,MATCH(Results!$D$3,'Employee Profile (2)'!$B$4:$B$50,0))*$Q12,"")</f>
        <v>12.458333333333332</v>
      </c>
      <c r="Q12" s="148">
        <f>IFERROR(SUMIFS('Employee Profile (2)'!M$4:M$50,'Employee Profile (2)'!$B$4:$B$50,Results!$D$3),"")</f>
        <v>4.1666666666666664E-2</v>
      </c>
      <c r="R12" s="150" t="s">
        <v>630</v>
      </c>
      <c r="S12" s="144">
        <f>IFERROR(INDEX('Employee Profile (2)'!$AC$4:$AC$50,MATCH(Results!$D$3,'Employee Profile (2)'!$B$4:$B$50,0))*$T12,"")</f>
        <v>7.1190476190476186</v>
      </c>
      <c r="T12" s="147">
        <f>IFERROR(SUMIFS('Employee Profile (2)'!Q$4:Q$50,'Employee Profile (2)'!$B$4:$B$50,Results!$D$3),"")</f>
        <v>2.3809523809523808E-2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20.467261904761905</v>
      </c>
      <c r="Z12" s="147">
        <f>IFERROR(SUMIFS('Employee Profile (2)'!Y$4:Y$50,'Employee Profile (2)'!$B$4:$B$50,Results!$D$3),"")</f>
        <v>6.8452380952380959E-2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14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8.8988095238095237</v>
      </c>
      <c r="N13" s="148">
        <f>IFERROR(SUMIFS('Employee Profile (2)'!G$4:G$50,'Employee Profile (2)'!$B$4:$B$50,Results!$D$3),"")</f>
        <v>2.976190476190476E-2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67.63095238095238</v>
      </c>
      <c r="T13" s="147">
        <f>IFERROR(SUMIFS('Employee Profile (2)'!R$4:R$50,'Employee Profile (2)'!$B$4:$B$50,Results!$D$3),"")</f>
        <v>0.22619047619047619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27.586309523809526</v>
      </c>
      <c r="Z13" s="147">
        <f>IFERROR(SUMIFS('Employee Profile (2)'!Z$4:Z$50,'Employee Profile (2)'!$B$4:$B$50,Results!$D$3),"")</f>
        <v>9.2261904761904767E-2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3.5595238095238093</v>
      </c>
      <c r="N14" s="148">
        <f>IFERROR(SUMIFS('Employee Profile (2)'!H$4:H$50,'Employee Profile (2)'!$B$4:$B$50,Results!$D$3),"")</f>
        <v>1.1904761904761904E-2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14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26.696428571428573</v>
      </c>
      <c r="N15" s="148">
        <f>IFERROR(SUMIFS('Employee Profile (2)'!I$4:I$50,'Employee Profile (2)'!$B$4:$B$50,Results!$D$3),"")</f>
        <v>8.9285714285714288E-2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14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122</v>
      </c>
      <c r="G29" s="87">
        <f t="shared" ref="G29:G44" si="4">SUMIFS($K$64:$K$509,$A$64:$A$509,B29,$C$64:$C$509,"Total")</f>
        <v>477.86767213114751</v>
      </c>
      <c r="H29" s="83">
        <f t="shared" ref="H29:H44" si="5">SUMIFS($J$64:$J$509,$A$64:$A$509,B29,$C$64:$C$509,"Total")</f>
        <v>58299.856</v>
      </c>
      <c r="I29" s="21">
        <f t="shared" ref="I29:I44" si="6">-SUMIFS($O$64:$O$509,$A$64:$A$509,$B29,$C$64:$C$509,"Total")+SUMIFS($N$64:$N$509,$A$64:$A$509,$B29,$C$64:$C$509,"Total")</f>
        <v>-12</v>
      </c>
      <c r="J29" s="88">
        <f t="shared" ref="J29:J44" si="7">SUMIFS($P$64:$P$509,$A$64:$A$509,$B29,$C$64:$C$509,"Total")</f>
        <v>110</v>
      </c>
      <c r="K29" s="88">
        <f t="shared" ref="K29:K44" si="8">SUMIFS($M$64:$M$509,$A$64:$A$509,$B29,$C$64:$C$509,"Total")</f>
        <v>567.67097634296965</v>
      </c>
      <c r="L29" s="88">
        <f t="shared" ref="L29:L44" si="9">SUMIFS($R$64:$R$509,$A$64:$A$509,$B29,$C$64:$C$509,"Total")+SUMIFS($Q$64:$Q$509,$A$64:$A$509,$B29,$C$64:$C$509,"Total")</f>
        <v>33.780687450749951</v>
      </c>
      <c r="M29" s="88">
        <f t="shared" ref="M29:M44" si="10">SUMIFS($S$64:$S$509,$A$64:$A$509,$B29,$C$64:$C$509,"Total")</f>
        <v>62443.807397726661</v>
      </c>
      <c r="N29" s="88">
        <f t="shared" ref="N29:N44" si="11">SUMIFS($S$64:$S$509,$A$64:$A$509,$B29,$C$64:$C$509,"Compensation Budget")</f>
        <v>67484</v>
      </c>
      <c r="O29" s="89">
        <f t="shared" ref="O29:O44" si="12">SUMIFS($S$64:$S$509,$A$64:$A$509,$B29,$C$64:$C$509,"Under/(Over)")</f>
        <v>5040.1926022733387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110</v>
      </c>
      <c r="R29" s="88">
        <f t="shared" ref="R29:R44" si="15">SUMIFS($U$64:$U$509,$A$64:$A$509,$B29,$C$64:$C$509,"Total")</f>
        <v>613.59357240696647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67495.292964766311</v>
      </c>
      <c r="U29" s="88">
        <f t="shared" ref="U29:U44" si="18">SUMIFS($AA$64:$AA$509,$A$64:$A$509,$B29,$C$64:$C$509,"Compensation Budget")</f>
        <v>69050</v>
      </c>
      <c r="V29" s="89">
        <f t="shared" ref="V29:V44" si="19">SUMIFS($AA$64:$AA$509,$A$64:$A$509,$B29,$C$64:$C$509,"Under/(Over)")</f>
        <v>1554.7070352336887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110</v>
      </c>
      <c r="Y29" s="88">
        <f t="shared" ref="Y29:Y44" si="22">SUMIFS($AC$64:$AC$509,$A$64:$A$509,$B29,$C$64:$C$509,"Total")</f>
        <v>662.62177633505405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72888.395396855951</v>
      </c>
      <c r="AB29" s="88">
        <f t="shared" ref="AB29:AB44" si="25">SUMIFS($AI$64:$AI$509,$A$64:$A$509,$B29,$C$64:$C$509,"Compensation Budget")</f>
        <v>73748</v>
      </c>
      <c r="AC29" s="89">
        <f t="shared" ref="AC29:AC44" si="26">SUMIFS($AI$64:$AI$509,$A$64:$A$509,$B29,$C$64:$C$509,"Under/(Over)")</f>
        <v>859.60460314404918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110</v>
      </c>
      <c r="AF29" s="88">
        <f t="shared" ref="AF29:AF44" si="29">SUMIFS($AK$64:$AK$509,$A$64:$A$509,$B29,$C$64:$C$509,"Total")</f>
        <v>714.23733842553338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78566.107226808672</v>
      </c>
      <c r="AI29" s="88">
        <f t="shared" ref="AI29:AI44" si="32">SUMIFS($AQ$64:$AQ$509,$A$64:$A$509,$B29,$C$64:$C$509,"Compensation Budget")</f>
        <v>79352.847999999998</v>
      </c>
      <c r="AJ29" s="89">
        <f t="shared" ref="AJ29:AJ44" si="33">SUMIFS($AQ$64:$AQ$509,$A$64:$A$509,$B29,$C$64:$C$509,"Under/(Over)")</f>
        <v>786.7407731913263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Leadership and Management Practices</v>
      </c>
      <c r="D30" s="222">
        <f t="shared" si="2"/>
        <v>0</v>
      </c>
      <c r="E30" s="223">
        <f t="shared" si="2"/>
        <v>0</v>
      </c>
      <c r="F30" s="80">
        <f t="shared" si="3"/>
        <v>53</v>
      </c>
      <c r="G30" s="155">
        <f t="shared" si="4"/>
        <v>678.6237333962265</v>
      </c>
      <c r="H30" s="155">
        <f t="shared" si="5"/>
        <v>35967.057870000004</v>
      </c>
      <c r="I30" s="23">
        <f t="shared" si="6"/>
        <v>0</v>
      </c>
      <c r="J30" s="22">
        <f t="shared" si="7"/>
        <v>53</v>
      </c>
      <c r="K30" s="22">
        <f t="shared" si="8"/>
        <v>715.62620568792579</v>
      </c>
      <c r="L30" s="22">
        <f t="shared" si="9"/>
        <v>0</v>
      </c>
      <c r="M30" s="22">
        <f t="shared" si="10"/>
        <v>37928.188901460067</v>
      </c>
      <c r="N30" s="22">
        <f t="shared" si="11"/>
        <v>39851</v>
      </c>
      <c r="O30" s="91">
        <f t="shared" si="12"/>
        <v>1922.8110985399326</v>
      </c>
      <c r="P30" s="23">
        <f t="shared" si="13"/>
        <v>0</v>
      </c>
      <c r="Q30" s="22">
        <f t="shared" si="14"/>
        <v>53</v>
      </c>
      <c r="R30" s="22">
        <f t="shared" si="15"/>
        <v>774.75982663320042</v>
      </c>
      <c r="S30" s="22">
        <f t="shared" si="16"/>
        <v>0</v>
      </c>
      <c r="T30" s="22">
        <f t="shared" si="17"/>
        <v>41062.270811559625</v>
      </c>
      <c r="U30" s="22">
        <f t="shared" si="18"/>
        <v>40808</v>
      </c>
      <c r="V30" s="91">
        <f t="shared" si="19"/>
        <v>-254.27081155962514</v>
      </c>
      <c r="W30" s="23">
        <f t="shared" si="20"/>
        <v>0</v>
      </c>
      <c r="X30" s="22">
        <f t="shared" si="21"/>
        <v>53</v>
      </c>
      <c r="Y30" s="22">
        <f t="shared" si="22"/>
        <v>838.00959278625055</v>
      </c>
      <c r="Z30" s="22">
        <f t="shared" si="23"/>
        <v>0</v>
      </c>
      <c r="AA30" s="22">
        <f t="shared" si="24"/>
        <v>44414.508417671277</v>
      </c>
      <c r="AB30" s="22">
        <f t="shared" si="25"/>
        <v>43900</v>
      </c>
      <c r="AC30" s="91">
        <f t="shared" si="26"/>
        <v>-514.50841767127713</v>
      </c>
      <c r="AD30" s="23">
        <f t="shared" si="27"/>
        <v>0</v>
      </c>
      <c r="AE30" s="22">
        <f t="shared" si="28"/>
        <v>53</v>
      </c>
      <c r="AF30" s="22">
        <f t="shared" si="29"/>
        <v>904.73976460274116</v>
      </c>
      <c r="AG30" s="22">
        <f t="shared" si="30"/>
        <v>0</v>
      </c>
      <c r="AH30" s="22">
        <f t="shared" si="31"/>
        <v>47951.207523945282</v>
      </c>
      <c r="AI30" s="22">
        <f t="shared" si="32"/>
        <v>47236.4</v>
      </c>
      <c r="AJ30" s="91">
        <f t="shared" si="33"/>
        <v>-714.80752394528099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Monitoring and Evaluation</v>
      </c>
      <c r="D31" s="222">
        <f t="shared" si="2"/>
        <v>0</v>
      </c>
      <c r="E31" s="223">
        <f t="shared" si="2"/>
        <v>0</v>
      </c>
      <c r="F31" s="80">
        <f t="shared" si="3"/>
        <v>56</v>
      </c>
      <c r="G31" s="155">
        <f t="shared" si="4"/>
        <v>566.82142857142856</v>
      </c>
      <c r="H31" s="155">
        <f t="shared" si="5"/>
        <v>31742</v>
      </c>
      <c r="I31" s="23">
        <f t="shared" si="6"/>
        <v>1</v>
      </c>
      <c r="J31" s="22">
        <f t="shared" si="7"/>
        <v>57</v>
      </c>
      <c r="K31" s="22">
        <f t="shared" si="8"/>
        <v>606.94271590144911</v>
      </c>
      <c r="L31" s="22">
        <f t="shared" si="9"/>
        <v>802.46208695652172</v>
      </c>
      <c r="M31" s="22">
        <f t="shared" si="10"/>
        <v>34595.734806382599</v>
      </c>
      <c r="N31" s="22">
        <f t="shared" si="11"/>
        <v>37849</v>
      </c>
      <c r="O31" s="91">
        <f t="shared" si="12"/>
        <v>3253.2651936174007</v>
      </c>
      <c r="P31" s="23">
        <f t="shared" si="13"/>
        <v>0</v>
      </c>
      <c r="Q31" s="22">
        <f t="shared" si="14"/>
        <v>57</v>
      </c>
      <c r="R31" s="22">
        <f t="shared" si="15"/>
        <v>648.41280594005343</v>
      </c>
      <c r="S31" s="22">
        <f t="shared" si="16"/>
        <v>0</v>
      </c>
      <c r="T31" s="22">
        <f t="shared" si="17"/>
        <v>36959.529938583044</v>
      </c>
      <c r="U31" s="22">
        <f t="shared" si="18"/>
        <v>38756</v>
      </c>
      <c r="V31" s="91">
        <f t="shared" si="19"/>
        <v>1796.470061416956</v>
      </c>
      <c r="W31" s="23">
        <f t="shared" si="20"/>
        <v>0</v>
      </c>
      <c r="X31" s="22">
        <f t="shared" si="21"/>
        <v>57</v>
      </c>
      <c r="Y31" s="22">
        <f t="shared" si="22"/>
        <v>692.09000654594502</v>
      </c>
      <c r="Z31" s="22">
        <f t="shared" si="23"/>
        <v>0</v>
      </c>
      <c r="AA31" s="22">
        <f t="shared" si="24"/>
        <v>39449.130373118867</v>
      </c>
      <c r="AB31" s="22">
        <f t="shared" si="25"/>
        <v>41687</v>
      </c>
      <c r="AC31" s="91">
        <f t="shared" si="26"/>
        <v>2237.8696268811327</v>
      </c>
      <c r="AD31" s="23">
        <f t="shared" si="27"/>
        <v>0</v>
      </c>
      <c r="AE31" s="22">
        <f t="shared" si="28"/>
        <v>57</v>
      </c>
      <c r="AF31" s="22">
        <f t="shared" si="29"/>
        <v>737.34812580332607</v>
      </c>
      <c r="AG31" s="22">
        <f t="shared" si="30"/>
        <v>0</v>
      </c>
      <c r="AH31" s="22">
        <f t="shared" si="31"/>
        <v>42028.843170789587</v>
      </c>
      <c r="AI31" s="22">
        <f t="shared" si="32"/>
        <v>44855.212</v>
      </c>
      <c r="AJ31" s="91">
        <f t="shared" si="33"/>
        <v>2826.3688292104125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Integrity and Anti-Corruption</v>
      </c>
      <c r="D32" s="222">
        <f t="shared" si="2"/>
        <v>0</v>
      </c>
      <c r="E32" s="223">
        <f t="shared" si="2"/>
        <v>0</v>
      </c>
      <c r="F32" s="80">
        <f t="shared" si="3"/>
        <v>63</v>
      </c>
      <c r="G32" s="155">
        <f t="shared" si="4"/>
        <v>656.34920634920638</v>
      </c>
      <c r="H32" s="155">
        <f t="shared" si="5"/>
        <v>41350</v>
      </c>
      <c r="I32" s="23">
        <f t="shared" si="6"/>
        <v>-1</v>
      </c>
      <c r="J32" s="22">
        <f t="shared" si="7"/>
        <v>62</v>
      </c>
      <c r="K32" s="22">
        <f t="shared" si="8"/>
        <v>706.16512529943077</v>
      </c>
      <c r="L32" s="22">
        <f t="shared" si="9"/>
        <v>-105.7720269252992</v>
      </c>
      <c r="M32" s="22">
        <f t="shared" si="10"/>
        <v>43782.237768564708</v>
      </c>
      <c r="N32" s="22">
        <f t="shared" si="11"/>
        <v>45617</v>
      </c>
      <c r="O32" s="91">
        <f t="shared" si="12"/>
        <v>1834.7622314352921</v>
      </c>
      <c r="P32" s="23">
        <f t="shared" si="13"/>
        <v>0</v>
      </c>
      <c r="Q32" s="22">
        <f t="shared" si="14"/>
        <v>62</v>
      </c>
      <c r="R32" s="22">
        <f t="shared" si="15"/>
        <v>753.35513833338962</v>
      </c>
      <c r="S32" s="22">
        <f t="shared" si="16"/>
        <v>0</v>
      </c>
      <c r="T32" s="22">
        <f t="shared" si="17"/>
        <v>46708.018576670154</v>
      </c>
      <c r="U32" s="22">
        <f t="shared" si="18"/>
        <v>46708</v>
      </c>
      <c r="V32" s="91">
        <f t="shared" si="19"/>
        <v>-1.8576670154288877E-2</v>
      </c>
      <c r="W32" s="23">
        <f t="shared" si="20"/>
        <v>0</v>
      </c>
      <c r="X32" s="22">
        <f t="shared" si="21"/>
        <v>62</v>
      </c>
      <c r="Y32" s="22">
        <f t="shared" si="22"/>
        <v>802.96066856452057</v>
      </c>
      <c r="Z32" s="22">
        <f t="shared" si="23"/>
        <v>0</v>
      </c>
      <c r="AA32" s="22">
        <f t="shared" si="24"/>
        <v>49783.561451000278</v>
      </c>
      <c r="AB32" s="22">
        <f t="shared" si="25"/>
        <v>50234</v>
      </c>
      <c r="AC32" s="91">
        <f t="shared" si="26"/>
        <v>450.43854899972212</v>
      </c>
      <c r="AD32" s="23">
        <f t="shared" si="27"/>
        <v>0</v>
      </c>
      <c r="AE32" s="22">
        <f t="shared" si="28"/>
        <v>62</v>
      </c>
      <c r="AF32" s="22">
        <f t="shared" si="29"/>
        <v>854.24294522114064</v>
      </c>
      <c r="AG32" s="22">
        <f t="shared" si="30"/>
        <v>0</v>
      </c>
      <c r="AH32" s="22">
        <f t="shared" si="31"/>
        <v>52963.062603710721</v>
      </c>
      <c r="AI32" s="22">
        <f t="shared" si="32"/>
        <v>54051.784000000007</v>
      </c>
      <c r="AJ32" s="91">
        <f t="shared" si="33"/>
        <v>1088.7213962892856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294</v>
      </c>
      <c r="G45" s="92">
        <f>IFERROR(H45/F45,0)</f>
        <v>569.2480063605442</v>
      </c>
      <c r="H45" s="92">
        <f>SUM(H29:H38)</f>
        <v>167358.91386999999</v>
      </c>
      <c r="I45" s="25">
        <f>SUM(I29:I38)</f>
        <v>-12</v>
      </c>
      <c r="J45" s="92">
        <f>SUM(J29:J38)</f>
        <v>282</v>
      </c>
      <c r="K45" s="92">
        <f>IFERROR(M45/J45,0)</f>
        <v>633.86513785153898</v>
      </c>
      <c r="L45" s="92">
        <f t="shared" ref="L45:Q45" si="34">SUM(L29:L38)</f>
        <v>730.47074748197247</v>
      </c>
      <c r="M45" s="92">
        <f t="shared" si="34"/>
        <v>178749.96887413401</v>
      </c>
      <c r="N45" s="92">
        <f>INDEX('ENE17'!$C$2:$C$48,MATCH(Results!$D$3,'ENE17'!$A$2:$A$48,0))</f>
        <v>185801</v>
      </c>
      <c r="O45" s="129">
        <f>N45-M45</f>
        <v>7051.0311258659931</v>
      </c>
      <c r="P45" s="25">
        <f t="shared" si="34"/>
        <v>0</v>
      </c>
      <c r="Q45" s="24">
        <f t="shared" si="34"/>
        <v>282</v>
      </c>
      <c r="R45" s="92">
        <f>IFERROR(T45/Q45,0)</f>
        <v>681.64933436730189</v>
      </c>
      <c r="S45" s="24">
        <f>SUM(S29:S38)</f>
        <v>0</v>
      </c>
      <c r="T45" s="24">
        <f>SUM(T29:T38)</f>
        <v>192225.11229157913</v>
      </c>
      <c r="U45" s="207">
        <f>INDEX('ENE17'!$D$2:$D$48,MATCH(Results!$D$3,'ENE17'!$A$2:$A$48,0))</f>
        <v>193173</v>
      </c>
      <c r="V45" s="24">
        <f>U45-T45</f>
        <v>947.88770842086524</v>
      </c>
      <c r="W45" s="25">
        <f t="shared" ref="W45:X45" si="35">SUM(W29:W38)</f>
        <v>0</v>
      </c>
      <c r="X45" s="24">
        <f t="shared" si="35"/>
        <v>282</v>
      </c>
      <c r="Y45" s="92">
        <f>IFERROR(AA45/X45,0)</f>
        <v>732.39572921505817</v>
      </c>
      <c r="Z45" s="24">
        <f t="shared" ref="Z45:AA45" si="36">SUM(Z29:Z38)</f>
        <v>0</v>
      </c>
      <c r="AA45" s="24">
        <f t="shared" si="36"/>
        <v>206535.59563864639</v>
      </c>
      <c r="AB45" s="207">
        <f>INDEX('ENE17'!$E$2:$E$48,MATCH(Results!$D$3,'ENE17'!$A$2:$A$48,0))</f>
        <v>207264</v>
      </c>
      <c r="AC45" s="24">
        <f>AB45-AA45</f>
        <v>728.40436135360505</v>
      </c>
      <c r="AD45" s="25">
        <f t="shared" ref="AD45:AE45" si="37">SUM(AD29:AD38)</f>
        <v>0</v>
      </c>
      <c r="AE45" s="24">
        <f t="shared" si="37"/>
        <v>282</v>
      </c>
      <c r="AF45" s="92">
        <f>IFERROR(AH45/AE45,0)</f>
        <v>785.49368980586621</v>
      </c>
      <c r="AG45" s="24">
        <f t="shared" ref="AG45:AH45" si="38">SUM(AG29:AG38)</f>
        <v>0</v>
      </c>
      <c r="AH45" s="24">
        <f t="shared" si="38"/>
        <v>221509.22052525426</v>
      </c>
      <c r="AI45" s="207">
        <f>INDEX('ENE17'!$F$2:$F$48,MATCH(Results!$D$3,'ENE17'!$A$2:$A$48,0))</f>
        <v>223016</v>
      </c>
      <c r="AJ45" s="24">
        <f>AI45-AH45</f>
        <v>1506.7794747457374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78</v>
      </c>
      <c r="G51" s="193">
        <f>IFERROR(H51/F51,"")</f>
        <v>181.85777423076922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14184.90639</v>
      </c>
      <c r="I51" s="97">
        <f>SUMIFS($N$64:$N$509,$B$64:$B$509,$B51)-SUMIFS($O$64:$O$509,$B$64:$B$509,$B51)</f>
        <v>-14</v>
      </c>
      <c r="J51" s="80">
        <f>SUMIFS($P$64:$P$509,$B$64:$B$509,$B51)</f>
        <v>64</v>
      </c>
      <c r="K51" s="80">
        <f>IFERROR(M51/J51,0)</f>
        <v>218.33929021592152</v>
      </c>
      <c r="L51" s="80">
        <f>SUMIFS($R$64:$R$509,$B$64:$B$509,$B51)+SUMIFS($Q$64:$Q$509,$B$64:$B$509,$B51)</f>
        <v>-960.63409805797357</v>
      </c>
      <c r="M51" s="98">
        <f>SUMIFS($S$64:$S$509,$B$64:$B$509,$B51)</f>
        <v>13973.714573818977</v>
      </c>
      <c r="N51" s="80">
        <f>SUMIFS($V$64:$V$509,$B$64:$B$509,$B51)-SUMIFS($W$64:$W$509,$B$64:$B$509,$B51)</f>
        <v>0</v>
      </c>
      <c r="O51" s="80">
        <f>SUMIFS($X$64:$X$509,$B$64:$B$509,$B51)</f>
        <v>64</v>
      </c>
      <c r="P51" s="80">
        <f>IFERROR(R51/O51,0)</f>
        <v>235.93713839757598</v>
      </c>
      <c r="Q51" s="80">
        <f>SUMIFS($Z$64:$Z$509,$B$64:$B$509,$B51)+SUMIFS($Y$64:$Y$509,$B$64:$B$509,$B51)</f>
        <v>0</v>
      </c>
      <c r="R51" s="80">
        <f>SUMIFS($AA$64:$AA$509,$B$64:$B$509,$B51)</f>
        <v>15099.976857444863</v>
      </c>
      <c r="S51" s="97">
        <f>SUMIFS($AD$64:$AD$509,$B$64:$B$509,$B51)-SUMIFS($AE$64:$AE$509,$B$64:$B$509,$B51)</f>
        <v>0</v>
      </c>
      <c r="T51" s="80">
        <f>SUMIFS($AF$64:$AF$509,$B$64:$B$509,$B51)</f>
        <v>64</v>
      </c>
      <c r="U51" s="80">
        <f>IFERROR(W51/T51,0)</f>
        <v>254.72428549457652</v>
      </c>
      <c r="V51" s="80">
        <f>SUMIFS($AH$64:$AH$509,$B$64:$B$509,$B51)+SUMIFS($AG$64:$AG$509,$B$64:$B$509,$B51)</f>
        <v>0</v>
      </c>
      <c r="W51" s="98">
        <f>SUMIFS($AI$64:$AI$509,$B$64:$B$509,$B51)</f>
        <v>16302.354271652897</v>
      </c>
      <c r="X51" s="80">
        <f>SUMIFS($AL$64:$AL$509,$B$64:$B$509,$B51)-SUMIFS($AM$64:$AM$509,$B$64:$B$509,$B51)</f>
        <v>0</v>
      </c>
      <c r="Y51" s="80">
        <f>SUMIFS($AN$64:$AN$509,$B$64:$B$509,$B51)</f>
        <v>64</v>
      </c>
      <c r="Z51" s="80">
        <f>IFERROR(AB51/Y51,0)</f>
        <v>274.50280584833479</v>
      </c>
      <c r="AA51" s="80">
        <f>SUMIFS($AP$64:$AP$509,$B$64:$B$509,$B51)+SUMIFS($AO$64:$AO$509,$B$64:$B$509,$B51)</f>
        <v>0</v>
      </c>
      <c r="AB51" s="98">
        <f>SUMIFS($AQ$64:$AQ$509,$B$64:$B$509,$B51)</f>
        <v>17568.179574293426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82</v>
      </c>
      <c r="G52" s="192">
        <f t="shared" ref="G52:G55" si="40">IFERROR(H52/F52,"")</f>
        <v>425.46482951219514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34888.116020000001</v>
      </c>
      <c r="I52" s="97">
        <f>SUMIFS($N$64:$N$509,$B$64:$B$509,$B52)-SUMIFS($O$64:$O$509,$B$64:$B$509,$B52)</f>
        <v>0</v>
      </c>
      <c r="J52" s="80">
        <f>SUMIFS($P$64:$P$509,$B$64:$B$509,$B52)</f>
        <v>82</v>
      </c>
      <c r="K52" s="80">
        <f t="shared" ref="K52:K56" si="41">IFERROR(M52/J52,0)</f>
        <v>455.7648828921686</v>
      </c>
      <c r="L52" s="80">
        <f>SUMIFS($R$64:$R$509,$B$64:$B$509,$B52)+SUMIFS($Q$64:$Q$509,$B$64:$B$509,$B52)</f>
        <v>0</v>
      </c>
      <c r="M52" s="98">
        <f>SUMIFS($S$64:$S$509,$B$64:$B$509,$B52)</f>
        <v>37372.720397157827</v>
      </c>
      <c r="N52" s="80">
        <f>SUMIFS($V$64:$V$509,$B$64:$B$509,$B52)-SUMIFS($W$64:$W$509,$B$64:$B$509,$B52)</f>
        <v>0</v>
      </c>
      <c r="O52" s="80">
        <f>SUMIFS($X$64:$X$509,$B$64:$B$509,$B52)</f>
        <v>82</v>
      </c>
      <c r="P52" s="80">
        <f t="shared" ref="P52:P55" si="42">IFERROR(R52/O52,0)</f>
        <v>492.24386638470213</v>
      </c>
      <c r="Q52" s="80">
        <f>SUMIFS($Z$64:$Z$509,$B$64:$B$509,$B52)+SUMIFS($Y$64:$Y$509,$B$64:$B$509,$B52)</f>
        <v>0</v>
      </c>
      <c r="R52" s="80">
        <f>SUMIFS($AA$64:$AA$509,$B$64:$B$509,$B52)</f>
        <v>40363.997043545576</v>
      </c>
      <c r="S52" s="97">
        <f>SUMIFS($AD$64:$AD$509,$B$64:$B$509,$B52)-SUMIFS($AE$64:$AE$509,$B$64:$B$509,$B52)</f>
        <v>0</v>
      </c>
      <c r="T52" s="80">
        <f>SUMIFS($AF$64:$AF$509,$B$64:$B$509,$B52)</f>
        <v>82</v>
      </c>
      <c r="U52" s="80">
        <f t="shared" ref="U52:U55" si="43">IFERROR(W52/T52,0)</f>
        <v>531.16925671182594</v>
      </c>
      <c r="V52" s="80">
        <f>SUMIFS($AH$64:$AH$509,$B$64:$B$509,$B52)+SUMIFS($AG$64:$AG$509,$B$64:$B$509,$B52)</f>
        <v>0</v>
      </c>
      <c r="W52" s="98">
        <f>SUMIFS($AI$64:$AI$509,$B$64:$B$509,$B52)</f>
        <v>43555.879050369724</v>
      </c>
      <c r="X52" s="80">
        <f>SUMIFS($AL$64:$AL$509,$B$64:$B$509,$B52)-SUMIFS($AM$64:$AM$509,$B$64:$B$509,$B52)</f>
        <v>0</v>
      </c>
      <c r="Y52" s="80">
        <f>SUMIFS($AN$64:$AN$509,$B$64:$B$509,$B52)</f>
        <v>82</v>
      </c>
      <c r="Z52" s="80">
        <f t="shared" ref="Z52:Z55" si="44">IFERROR(AB52/Y52,0)</f>
        <v>572.12573164616845</v>
      </c>
      <c r="AA52" s="80">
        <f>SUMIFS($AP$64:$AP$509,$B$64:$B$509,$B52)+SUMIFS($AO$64:$AO$509,$B$64:$B$509,$B52)</f>
        <v>0</v>
      </c>
      <c r="AB52" s="98">
        <f>SUMIFS($AQ$64:$AQ$509,$B$64:$B$509,$B52)</f>
        <v>46914.309994985815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77</v>
      </c>
      <c r="G53" s="192">
        <f t="shared" si="40"/>
        <v>774.73885012987012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59654.891459999999</v>
      </c>
      <c r="I53" s="97">
        <f>SUMIFS($N$64:$N$509,$B$64:$B$509,$B53)-SUMIFS($O$64:$O$509,$B$64:$B$509,$B53)</f>
        <v>2</v>
      </c>
      <c r="J53" s="80">
        <f>SUMIFS($P$64:$P$509,$B$64:$B$509,$B53)</f>
        <v>79</v>
      </c>
      <c r="K53" s="80">
        <f t="shared" si="41"/>
        <v>839.07125405896909</v>
      </c>
      <c r="L53" s="80">
        <f>SUMIFS($R$64:$R$509,$B$64:$B$509,$B53)+SUMIFS($Q$64:$Q$509,$B$64:$B$509,$B53)</f>
        <v>1691.1048455399459</v>
      </c>
      <c r="M53" s="98">
        <f>SUMIFS($S$64:$S$509,$B$64:$B$509,$B53)</f>
        <v>66286.629070658557</v>
      </c>
      <c r="N53" s="80">
        <f>SUMIFS($V$64:$V$509,$B$64:$B$509,$B53)-SUMIFS($W$64:$W$509,$B$64:$B$509,$B53)</f>
        <v>0</v>
      </c>
      <c r="O53" s="80">
        <f>SUMIFS($X$64:$X$509,$B$64:$B$509,$B53)</f>
        <v>79</v>
      </c>
      <c r="P53" s="80">
        <f t="shared" si="42"/>
        <v>903.60135259403205</v>
      </c>
      <c r="Q53" s="80">
        <f>SUMIFS($Z$64:$Z$509,$B$64:$B$509,$B53)+SUMIFS($Y$64:$Y$509,$B$64:$B$509,$B53)</f>
        <v>0</v>
      </c>
      <c r="R53" s="80">
        <f>SUMIFS($AA$64:$AA$509,$B$64:$B$509,$B53)</f>
        <v>71384.506854928535</v>
      </c>
      <c r="S53" s="97">
        <f>SUMIFS($AD$64:$AD$509,$B$64:$B$509,$B53)-SUMIFS($AE$64:$AE$509,$B$64:$B$509,$B53)</f>
        <v>0</v>
      </c>
      <c r="T53" s="80">
        <f>SUMIFS($AF$64:$AF$509,$B$64:$B$509,$B53)</f>
        <v>79</v>
      </c>
      <c r="U53" s="80">
        <f t="shared" si="43"/>
        <v>972.23573428783857</v>
      </c>
      <c r="V53" s="80">
        <f>SUMIFS($AH$64:$AH$509,$B$64:$B$509,$B53)+SUMIFS($AG$64:$AG$509,$B$64:$B$509,$B53)</f>
        <v>0</v>
      </c>
      <c r="W53" s="98">
        <f>SUMIFS($AI$64:$AI$509,$B$64:$B$509,$B53)</f>
        <v>76806.623008739247</v>
      </c>
      <c r="X53" s="80">
        <f>SUMIFS($AL$64:$AL$509,$B$64:$B$509,$B53)-SUMIFS($AM$64:$AM$509,$B$64:$B$509,$B53)</f>
        <v>0</v>
      </c>
      <c r="Y53" s="80">
        <f>SUMIFS($AN$64:$AN$509,$B$64:$B$509,$B53)</f>
        <v>79</v>
      </c>
      <c r="Z53" s="80">
        <f t="shared" si="44"/>
        <v>1044.1810012929272</v>
      </c>
      <c r="AA53" s="80">
        <f>SUMIFS($AP$64:$AP$509,$B$64:$B$509,$B53)+SUMIFS($AO$64:$AO$509,$B$64:$B$509,$B53)</f>
        <v>0</v>
      </c>
      <c r="AB53" s="98">
        <f>SUMIFS($AQ$64:$AQ$509,$B$64:$B$509,$B53)</f>
        <v>82490.29910214126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57</v>
      </c>
      <c r="G54" s="192">
        <f t="shared" si="40"/>
        <v>1028.6140350877192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58631</v>
      </c>
      <c r="I54" s="97">
        <f>SUMIFS($N$64:$N$509,$B$64:$B$509,$B54)-SUMIFS($O$64:$O$509,$B$64:$B$509,$B54)</f>
        <v>0</v>
      </c>
      <c r="J54" s="80">
        <f>SUMIFS($P$64:$P$509,$B$64:$B$509,$B54)</f>
        <v>57</v>
      </c>
      <c r="K54" s="80">
        <f t="shared" si="41"/>
        <v>1072.226400570152</v>
      </c>
      <c r="L54" s="80">
        <f>SUMIFS($R$64:$R$509,$B$64:$B$509,$B54)+SUMIFS($Q$64:$Q$509,$B$64:$B$509,$B54)</f>
        <v>0</v>
      </c>
      <c r="M54" s="98">
        <f>SUMIFS($S$64:$S$509,$B$64:$B$509,$B54)</f>
        <v>61116.904832498665</v>
      </c>
      <c r="N54" s="80">
        <f>SUMIFS($V$64:$V$509,$B$64:$B$509,$B54)-SUMIFS($W$64:$W$509,$B$64:$B$509,$B54)</f>
        <v>0</v>
      </c>
      <c r="O54" s="80">
        <f>SUMIFS($X$64:$X$509,$B$64:$B$509,$B54)</f>
        <v>57</v>
      </c>
      <c r="P54" s="80">
        <f t="shared" si="42"/>
        <v>1146.9584479940377</v>
      </c>
      <c r="Q54" s="80">
        <f>SUMIFS($Z$64:$Z$509,$B$64:$B$509,$B54)+SUMIFS($Y$64:$Y$509,$B$64:$B$509,$B54)</f>
        <v>0</v>
      </c>
      <c r="R54" s="80">
        <f>SUMIFS($AA$64:$AA$509,$B$64:$B$509,$B54)</f>
        <v>65376.631535660148</v>
      </c>
      <c r="S54" s="97">
        <f>SUMIFS($AD$64:$AD$509,$B$64:$B$509,$B54)-SUMIFS($AE$64:$AE$509,$B$64:$B$509,$B54)</f>
        <v>0</v>
      </c>
      <c r="T54" s="80">
        <f>SUMIFS($AF$64:$AF$509,$B$64:$B$509,$B54)</f>
        <v>57</v>
      </c>
      <c r="U54" s="80">
        <f t="shared" si="43"/>
        <v>1225.8024439979738</v>
      </c>
      <c r="V54" s="80">
        <f>SUMIFS($AH$64:$AH$509,$B$64:$B$509,$B54)+SUMIFS($AG$64:$AG$509,$B$64:$B$509,$B54)</f>
        <v>0</v>
      </c>
      <c r="W54" s="98">
        <f>SUMIFS($AI$64:$AI$509,$B$64:$B$509,$B54)</f>
        <v>69870.739307884505</v>
      </c>
      <c r="X54" s="80">
        <f>SUMIFS($AL$64:$AL$509,$B$64:$B$509,$B54)-SUMIFS($AM$64:$AM$509,$B$64:$B$509,$B54)</f>
        <v>0</v>
      </c>
      <c r="Y54" s="80">
        <f>SUMIFS($AN$64:$AN$509,$B$64:$B$509,$B54)</f>
        <v>57</v>
      </c>
      <c r="Z54" s="80">
        <f t="shared" si="44"/>
        <v>1307.6566991900659</v>
      </c>
      <c r="AA54" s="80">
        <f>SUMIFS($AP$64:$AP$509,$B$64:$B$509,$B54)+SUMIFS($AO$64:$AO$509,$B$64:$B$509,$B54)</f>
        <v>0</v>
      </c>
      <c r="AB54" s="98">
        <f>SUMIFS($AQ$64:$AQ$509,$B$64:$B$509,$B54)</f>
        <v>74536.431853833754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294</v>
      </c>
      <c r="G56" s="92">
        <f t="shared" ref="G56" si="45">IFERROR(H56/F56,0)</f>
        <v>569.2480063605442</v>
      </c>
      <c r="H56" s="92">
        <f>SUM(H51:H55)</f>
        <v>167358.91386999999</v>
      </c>
      <c r="I56" s="92">
        <f>SUM(I51:I55)</f>
        <v>-12</v>
      </c>
      <c r="J56" s="92">
        <f>SUM(J51:J55)</f>
        <v>282</v>
      </c>
      <c r="K56" s="92">
        <f t="shared" si="41"/>
        <v>633.86513785153909</v>
      </c>
      <c r="L56" s="92">
        <f>SUM(L51:L55)</f>
        <v>730.47074748197235</v>
      </c>
      <c r="M56" s="92">
        <f>SUM(M51:M55)</f>
        <v>178749.96887413404</v>
      </c>
      <c r="N56" s="92">
        <f t="shared" ref="N56:O56" si="46">SUM(N51:N55)</f>
        <v>0</v>
      </c>
      <c r="O56" s="92">
        <f t="shared" si="46"/>
        <v>282</v>
      </c>
      <c r="P56" s="92">
        <f>IFERROR(R56/O56,0)</f>
        <v>681.64933436730189</v>
      </c>
      <c r="Q56" s="92">
        <f t="shared" ref="Q56" si="47">SUM(Q51:Q55)</f>
        <v>0</v>
      </c>
      <c r="R56" s="92">
        <f t="shared" ref="R56:T56" si="48">SUM(R51:R55)</f>
        <v>192225.11229157913</v>
      </c>
      <c r="S56" s="92">
        <f t="shared" si="48"/>
        <v>0</v>
      </c>
      <c r="T56" s="92">
        <f t="shared" si="48"/>
        <v>282</v>
      </c>
      <c r="U56" s="92">
        <f>IFERROR(W56/T56,0)</f>
        <v>732.39572921505805</v>
      </c>
      <c r="V56" s="92">
        <f t="shared" ref="V56" si="49">SUM(V51:V55)</f>
        <v>0</v>
      </c>
      <c r="W56" s="92">
        <f t="shared" ref="W56:Y56" si="50">SUM(W51:W55)</f>
        <v>206535.59563864637</v>
      </c>
      <c r="X56" s="92">
        <f t="shared" si="50"/>
        <v>0</v>
      </c>
      <c r="Y56" s="92">
        <f t="shared" si="50"/>
        <v>282</v>
      </c>
      <c r="Z56" s="92">
        <f>IFERROR(AB56/Y56,0)</f>
        <v>785.49368980586621</v>
      </c>
      <c r="AA56" s="92">
        <f t="shared" ref="AA56" si="51">SUM(AA51:AA55)</f>
        <v>0</v>
      </c>
      <c r="AB56" s="104">
        <f t="shared" ref="AB56" si="52">SUM(AB51:AB55)</f>
        <v>221509.22052525426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11</v>
      </c>
      <c r="G64" s="35">
        <f>SUMIFS(WORKING!$AC$3:$AC$6802,WORKING!$A$3:$A$6802,Results!$D$3,WORKING!$B$3:$B$6802,Results!A64,WORKING!$C$3:$C$6802,Results!C64)/1000</f>
        <v>693.81700000000001</v>
      </c>
      <c r="H64" s="35">
        <f>IFERROR(G64/F64,0)</f>
        <v>63.074272727272728</v>
      </c>
      <c r="I64" s="156">
        <v>11</v>
      </c>
      <c r="J64" s="211">
        <v>583</v>
      </c>
      <c r="K64" s="217">
        <f>IFERROR(IF(J64="",G64,J64)/IF(I64="",F64,I64),"")</f>
        <v>53</v>
      </c>
      <c r="L64" s="34">
        <f t="shared" ref="L64:L80" si="54">IF(I64="",F64,I64)</f>
        <v>11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57.883420000000001</v>
      </c>
      <c r="N64" s="57">
        <v>0</v>
      </c>
      <c r="O64" s="57">
        <v>11</v>
      </c>
      <c r="P64" s="61">
        <f t="shared" ref="P64:P80" si="55">-O64+L64+N64</f>
        <v>0</v>
      </c>
      <c r="Q64" s="40">
        <f>M64*N64</f>
        <v>0</v>
      </c>
      <c r="R64" s="40">
        <f>-M64*O64</f>
        <v>-636.71762000000001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62.864288291000001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68.209953045825173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73.871720198393874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11</v>
      </c>
      <c r="G65" s="35">
        <f>SUMIFS(WORKING!$AC$3:$AC$6802,WORKING!$A$3:$A$6802,Results!$D$3,WORKING!$B$3:$B$6802,Results!A65,WORKING!$C$3:$C$6802,Results!C65)/1000</f>
        <v>805.10726</v>
      </c>
      <c r="H65" s="35">
        <f t="shared" ref="H65:H80" si="60">IFERROR(G65/F65,0)</f>
        <v>73.191569090909084</v>
      </c>
      <c r="I65" s="187">
        <v>8</v>
      </c>
      <c r="J65" s="212">
        <v>803</v>
      </c>
      <c r="K65" s="217">
        <f t="shared" ref="K65:K80" si="61">IFERROR(IF(J65="",G65,J65)/IF(I65="",F65,I65),"")</f>
        <v>100.375</v>
      </c>
      <c r="L65" s="34">
        <f t="shared" si="54"/>
        <v>8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109.07222556633715</v>
      </c>
      <c r="N65" s="57">
        <v>0</v>
      </c>
      <c r="O65" s="57">
        <v>2</v>
      </c>
      <c r="P65" s="61">
        <f t="shared" si="55"/>
        <v>6</v>
      </c>
      <c r="Q65" s="40">
        <f t="shared" ref="Q65:Q80" si="62">M65*N65</f>
        <v>0</v>
      </c>
      <c r="R65" s="40">
        <f t="shared" ref="R65:R80" si="63">-M65*O65</f>
        <v>-218.14445113267431</v>
      </c>
      <c r="S65" s="44">
        <f t="shared" ref="S65:S80" si="64">M65*P65</f>
        <v>654.43335339802297</v>
      </c>
      <c r="T65" s="35">
        <f t="shared" ref="T65:T80" si="65">P65</f>
        <v>6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118.28568487956888</v>
      </c>
      <c r="V65" s="57">
        <v>0</v>
      </c>
      <c r="W65" s="57">
        <v>0</v>
      </c>
      <c r="X65" s="61">
        <f t="shared" si="56"/>
        <v>6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709.71410927741329</v>
      </c>
      <c r="AB65" s="35">
        <f t="shared" ref="AB65:AB80" si="69">X65</f>
        <v>6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128.15761554028384</v>
      </c>
      <c r="AD65" s="57">
        <v>0</v>
      </c>
      <c r="AE65" s="57">
        <v>0</v>
      </c>
      <c r="AF65" s="61">
        <f t="shared" si="57"/>
        <v>6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768.94569324170311</v>
      </c>
      <c r="AJ65" s="35">
        <f t="shared" si="58"/>
        <v>6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138.59384394893803</v>
      </c>
      <c r="AL65" s="57">
        <v>0</v>
      </c>
      <c r="AM65" s="57">
        <v>0</v>
      </c>
      <c r="AN65" s="61">
        <f t="shared" si="59"/>
        <v>6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831.56306369362824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</v>
      </c>
      <c r="G66" s="35">
        <f>SUMIFS(WORKING!$AC$3:$AC$6802,WORKING!$A$3:$A$6802,Results!$D$3,WORKING!$B$3:$B$6802,Results!A66,WORKING!$C$3:$C$6802,Results!C66)/1000</f>
        <v>142.99922000000001</v>
      </c>
      <c r="H66" s="35">
        <f t="shared" si="60"/>
        <v>142.99922000000001</v>
      </c>
      <c r="I66" s="187">
        <v>1</v>
      </c>
      <c r="J66" s="212">
        <v>143</v>
      </c>
      <c r="K66" s="217">
        <f t="shared" si="61"/>
        <v>143</v>
      </c>
      <c r="L66" s="34">
        <f t="shared" si="54"/>
        <v>1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154.90061314722627</v>
      </c>
      <c r="N66" s="57">
        <v>0</v>
      </c>
      <c r="O66" s="57">
        <v>0</v>
      </c>
      <c r="P66" s="61">
        <f t="shared" si="55"/>
        <v>1</v>
      </c>
      <c r="Q66" s="40">
        <f t="shared" si="62"/>
        <v>0</v>
      </c>
      <c r="R66" s="40">
        <f t="shared" si="63"/>
        <v>0</v>
      </c>
      <c r="S66" s="44">
        <f t="shared" si="64"/>
        <v>154.90061314722627</v>
      </c>
      <c r="T66" s="35">
        <f t="shared" si="65"/>
        <v>1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167.83753819867366</v>
      </c>
      <c r="V66" s="57">
        <v>0</v>
      </c>
      <c r="W66" s="57">
        <v>0</v>
      </c>
      <c r="X66" s="61">
        <f t="shared" si="56"/>
        <v>1</v>
      </c>
      <c r="Y66" s="40">
        <f t="shared" si="66"/>
        <v>0</v>
      </c>
      <c r="Z66" s="40">
        <f t="shared" si="67"/>
        <v>0</v>
      </c>
      <c r="AA66" s="44">
        <f t="shared" si="68"/>
        <v>167.83753819867366</v>
      </c>
      <c r="AB66" s="35">
        <f t="shared" si="69"/>
        <v>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181.68496389270118</v>
      </c>
      <c r="AD66" s="57">
        <v>0</v>
      </c>
      <c r="AE66" s="57">
        <v>0</v>
      </c>
      <c r="AF66" s="61">
        <f t="shared" si="57"/>
        <v>1</v>
      </c>
      <c r="AG66" s="40">
        <f t="shared" si="70"/>
        <v>0</v>
      </c>
      <c r="AH66" s="40">
        <f t="shared" si="71"/>
        <v>0</v>
      </c>
      <c r="AI66" s="44">
        <f t="shared" si="72"/>
        <v>181.68496389270118</v>
      </c>
      <c r="AJ66" s="35">
        <f t="shared" si="58"/>
        <v>1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196.30690531496884</v>
      </c>
      <c r="AL66" s="57">
        <v>0</v>
      </c>
      <c r="AM66" s="57">
        <v>0</v>
      </c>
      <c r="AN66" s="61">
        <f t="shared" si="59"/>
        <v>1</v>
      </c>
      <c r="AO66" s="40">
        <f t="shared" si="73"/>
        <v>0</v>
      </c>
      <c r="AP66" s="40">
        <f t="shared" si="74"/>
        <v>0</v>
      </c>
      <c r="AQ66" s="44">
        <f t="shared" si="75"/>
        <v>196.30690531496884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5.8559999999999999</v>
      </c>
      <c r="H67" s="35">
        <f t="shared" si="60"/>
        <v>0</v>
      </c>
      <c r="I67" s="187">
        <v>0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29</v>
      </c>
      <c r="G68" s="35">
        <f>SUMIFS(WORKING!$AC$3:$AC$6802,WORKING!$A$3:$A$6802,Results!$D$3,WORKING!$B$3:$B$6802,Results!A68,WORKING!$C$3:$C$6802,Results!C68)/1000</f>
        <v>6213.5176999999994</v>
      </c>
      <c r="H68" s="35">
        <f t="shared" si="60"/>
        <v>214.25923103448275</v>
      </c>
      <c r="I68" s="187">
        <v>25</v>
      </c>
      <c r="J68" s="212">
        <v>5511</v>
      </c>
      <c r="K68" s="217">
        <f t="shared" si="61"/>
        <v>220.44</v>
      </c>
      <c r="L68" s="34">
        <f t="shared" si="54"/>
        <v>25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239.55874746441071</v>
      </c>
      <c r="N68" s="57">
        <v>0</v>
      </c>
      <c r="O68" s="57">
        <v>0</v>
      </c>
      <c r="P68" s="61">
        <f t="shared" si="55"/>
        <v>25</v>
      </c>
      <c r="Q68" s="40">
        <f t="shared" si="62"/>
        <v>0</v>
      </c>
      <c r="R68" s="40">
        <f t="shared" si="63"/>
        <v>0</v>
      </c>
      <c r="S68" s="44">
        <f t="shared" si="64"/>
        <v>5988.9686866102675</v>
      </c>
      <c r="T68" s="35">
        <f t="shared" si="65"/>
        <v>25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259.80455838518441</v>
      </c>
      <c r="V68" s="57">
        <v>0</v>
      </c>
      <c r="W68" s="57">
        <v>0</v>
      </c>
      <c r="X68" s="61">
        <f t="shared" si="56"/>
        <v>25</v>
      </c>
      <c r="Y68" s="40">
        <f t="shared" si="66"/>
        <v>0</v>
      </c>
      <c r="Z68" s="40">
        <f t="shared" si="67"/>
        <v>0</v>
      </c>
      <c r="AA68" s="44">
        <f t="shared" si="68"/>
        <v>6495.1139596296098</v>
      </c>
      <c r="AB68" s="35">
        <f t="shared" si="69"/>
        <v>25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281.49809093141852</v>
      </c>
      <c r="AD68" s="57">
        <v>0</v>
      </c>
      <c r="AE68" s="57">
        <v>0</v>
      </c>
      <c r="AF68" s="61">
        <f t="shared" si="57"/>
        <v>25</v>
      </c>
      <c r="AG68" s="40">
        <f t="shared" si="70"/>
        <v>0</v>
      </c>
      <c r="AH68" s="40">
        <f t="shared" si="71"/>
        <v>0</v>
      </c>
      <c r="AI68" s="44">
        <f t="shared" si="72"/>
        <v>7037.452273285463</v>
      </c>
      <c r="AJ68" s="35">
        <f t="shared" si="58"/>
        <v>25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304.43242619774287</v>
      </c>
      <c r="AL68" s="57">
        <v>0</v>
      </c>
      <c r="AM68" s="57">
        <v>0</v>
      </c>
      <c r="AN68" s="61">
        <f t="shared" si="59"/>
        <v>25</v>
      </c>
      <c r="AO68" s="40">
        <f t="shared" si="73"/>
        <v>0</v>
      </c>
      <c r="AP68" s="40">
        <f t="shared" si="74"/>
        <v>0</v>
      </c>
      <c r="AQ68" s="44">
        <f t="shared" si="75"/>
        <v>7610.8106549435715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8</v>
      </c>
      <c r="G69" s="35">
        <f>SUMIFS(WORKING!$AC$3:$AC$6802,WORKING!$A$3:$A$6802,Results!$D$3,WORKING!$B$3:$B$6802,Results!A69,WORKING!$C$3:$C$6802,Results!C69)/1000</f>
        <v>1958.829</v>
      </c>
      <c r="H69" s="35">
        <f t="shared" si="60"/>
        <v>244.85362499999999</v>
      </c>
      <c r="I69" s="187">
        <v>5</v>
      </c>
      <c r="J69" s="212">
        <v>1062</v>
      </c>
      <c r="K69" s="217">
        <f t="shared" si="61"/>
        <v>212.4</v>
      </c>
      <c r="L69" s="34">
        <f t="shared" si="54"/>
        <v>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231.01865698880138</v>
      </c>
      <c r="N69" s="57">
        <v>0</v>
      </c>
      <c r="O69" s="57">
        <v>0</v>
      </c>
      <c r="P69" s="61">
        <f t="shared" si="55"/>
        <v>5</v>
      </c>
      <c r="Q69" s="40">
        <f t="shared" si="62"/>
        <v>0</v>
      </c>
      <c r="R69" s="40">
        <f t="shared" si="63"/>
        <v>0</v>
      </c>
      <c r="S69" s="44">
        <f t="shared" si="64"/>
        <v>1155.0932849440069</v>
      </c>
      <c r="T69" s="35">
        <f t="shared" si="65"/>
        <v>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250.60183205819325</v>
      </c>
      <c r="V69" s="57">
        <v>0</v>
      </c>
      <c r="W69" s="57">
        <v>0</v>
      </c>
      <c r="X69" s="61">
        <f t="shared" si="56"/>
        <v>5</v>
      </c>
      <c r="Y69" s="40">
        <f t="shared" si="66"/>
        <v>0</v>
      </c>
      <c r="Z69" s="40">
        <f t="shared" si="67"/>
        <v>0</v>
      </c>
      <c r="AA69" s="44">
        <f t="shared" si="68"/>
        <v>1253.0091602909663</v>
      </c>
      <c r="AB69" s="35">
        <f t="shared" si="69"/>
        <v>5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271.59109297066345</v>
      </c>
      <c r="AD69" s="57">
        <v>0</v>
      </c>
      <c r="AE69" s="57">
        <v>0</v>
      </c>
      <c r="AF69" s="61">
        <f t="shared" si="57"/>
        <v>5</v>
      </c>
      <c r="AG69" s="40">
        <f t="shared" si="70"/>
        <v>0</v>
      </c>
      <c r="AH69" s="40">
        <f t="shared" si="71"/>
        <v>0</v>
      </c>
      <c r="AI69" s="44">
        <f t="shared" si="72"/>
        <v>1357.9554648533172</v>
      </c>
      <c r="AJ69" s="35">
        <f t="shared" si="58"/>
        <v>5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293.78786477982004</v>
      </c>
      <c r="AL69" s="57">
        <v>0</v>
      </c>
      <c r="AM69" s="57">
        <v>0</v>
      </c>
      <c r="AN69" s="61">
        <f t="shared" si="59"/>
        <v>5</v>
      </c>
      <c r="AO69" s="40">
        <f t="shared" si="73"/>
        <v>0</v>
      </c>
      <c r="AP69" s="40">
        <f t="shared" si="74"/>
        <v>0</v>
      </c>
      <c r="AQ69" s="44">
        <f t="shared" si="75"/>
        <v>1468.9393238991001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17</v>
      </c>
      <c r="G70" s="35">
        <f>SUMIFS(WORKING!$AC$3:$AC$6802,WORKING!$A$3:$A$6802,Results!$D$3,WORKING!$B$3:$B$6802,Results!A70,WORKING!$C$3:$C$6802,Results!C70)/1000</f>
        <v>5377.6936299999988</v>
      </c>
      <c r="H70" s="35">
        <f t="shared" si="60"/>
        <v>316.33491941176464</v>
      </c>
      <c r="I70" s="187">
        <v>14</v>
      </c>
      <c r="J70" s="212">
        <v>4619</v>
      </c>
      <c r="K70" s="217">
        <f t="shared" si="61"/>
        <v>329.92857142857144</v>
      </c>
      <c r="L70" s="34">
        <f t="shared" si="54"/>
        <v>14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359.08549353545538</v>
      </c>
      <c r="N70" s="57">
        <v>0</v>
      </c>
      <c r="O70" s="57">
        <v>0</v>
      </c>
      <c r="P70" s="61">
        <f t="shared" si="55"/>
        <v>14</v>
      </c>
      <c r="Q70" s="40">
        <f t="shared" si="62"/>
        <v>0</v>
      </c>
      <c r="R70" s="40">
        <f t="shared" si="63"/>
        <v>0</v>
      </c>
      <c r="S70" s="44">
        <f t="shared" si="64"/>
        <v>5027.1969094963752</v>
      </c>
      <c r="T70" s="35">
        <f t="shared" si="65"/>
        <v>14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389.59877721085485</v>
      </c>
      <c r="V70" s="57">
        <v>0</v>
      </c>
      <c r="W70" s="57">
        <v>0</v>
      </c>
      <c r="X70" s="61">
        <f t="shared" si="56"/>
        <v>14</v>
      </c>
      <c r="Y70" s="40">
        <f t="shared" si="66"/>
        <v>0</v>
      </c>
      <c r="Z70" s="40">
        <f t="shared" si="67"/>
        <v>0</v>
      </c>
      <c r="AA70" s="44">
        <f t="shared" si="68"/>
        <v>5454.3828809519682</v>
      </c>
      <c r="AB70" s="35">
        <f t="shared" si="69"/>
        <v>14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422.30998599446724</v>
      </c>
      <c r="AD70" s="57">
        <v>0</v>
      </c>
      <c r="AE70" s="57">
        <v>0</v>
      </c>
      <c r="AF70" s="61">
        <f t="shared" si="57"/>
        <v>14</v>
      </c>
      <c r="AG70" s="40">
        <f t="shared" si="70"/>
        <v>0</v>
      </c>
      <c r="AH70" s="40">
        <f t="shared" si="71"/>
        <v>0</v>
      </c>
      <c r="AI70" s="44">
        <f t="shared" si="72"/>
        <v>5912.3398039225413</v>
      </c>
      <c r="AJ70" s="35">
        <f t="shared" si="58"/>
        <v>14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456.91146872646112</v>
      </c>
      <c r="AL70" s="57">
        <v>0</v>
      </c>
      <c r="AM70" s="57">
        <v>0</v>
      </c>
      <c r="AN70" s="61">
        <f t="shared" si="59"/>
        <v>14</v>
      </c>
      <c r="AO70" s="40">
        <f t="shared" si="73"/>
        <v>0</v>
      </c>
      <c r="AP70" s="40">
        <f t="shared" si="74"/>
        <v>0</v>
      </c>
      <c r="AQ70" s="44">
        <f t="shared" si="75"/>
        <v>6396.7605621704561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15</v>
      </c>
      <c r="G71" s="35">
        <f>SUMIFS(WORKING!$AC$3:$AC$6802,WORKING!$A$3:$A$6802,Results!$D$3,WORKING!$B$3:$B$6802,Results!A71,WORKING!$C$3:$C$6802,Results!C71)/1000</f>
        <v>5836.6327500000007</v>
      </c>
      <c r="H71" s="35">
        <f>IFERROR(G71/F71,0)</f>
        <v>389.10885000000002</v>
      </c>
      <c r="I71" s="187">
        <v>13</v>
      </c>
      <c r="J71" s="212">
        <v>5486</v>
      </c>
      <c r="K71" s="217">
        <f t="shared" si="61"/>
        <v>422</v>
      </c>
      <c r="L71" s="34">
        <f t="shared" si="54"/>
        <v>13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459.50830630614087</v>
      </c>
      <c r="N71" s="57">
        <v>0</v>
      </c>
      <c r="O71" s="57">
        <v>0</v>
      </c>
      <c r="P71" s="61">
        <f t="shared" si="55"/>
        <v>13</v>
      </c>
      <c r="Q71" s="40">
        <f t="shared" si="62"/>
        <v>0</v>
      </c>
      <c r="R71" s="40">
        <f t="shared" si="63"/>
        <v>0</v>
      </c>
      <c r="S71" s="44">
        <f t="shared" si="64"/>
        <v>5973.6079819798315</v>
      </c>
      <c r="T71" s="35">
        <f t="shared" si="65"/>
        <v>13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498.62287476726095</v>
      </c>
      <c r="V71" s="57">
        <v>0</v>
      </c>
      <c r="W71" s="57">
        <v>0</v>
      </c>
      <c r="X71" s="61">
        <f t="shared" si="56"/>
        <v>13</v>
      </c>
      <c r="Y71" s="40">
        <f t="shared" si="66"/>
        <v>0</v>
      </c>
      <c r="Z71" s="40">
        <f t="shared" si="67"/>
        <v>0</v>
      </c>
      <c r="AA71" s="44">
        <f t="shared" si="68"/>
        <v>6482.0973719743924</v>
      </c>
      <c r="AB71" s="35">
        <f t="shared" si="69"/>
        <v>13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540.56138110300049</v>
      </c>
      <c r="AD71" s="57">
        <v>0</v>
      </c>
      <c r="AE71" s="57">
        <v>0</v>
      </c>
      <c r="AF71" s="61">
        <f t="shared" si="57"/>
        <v>13</v>
      </c>
      <c r="AG71" s="40">
        <f t="shared" si="70"/>
        <v>0</v>
      </c>
      <c r="AH71" s="40">
        <f t="shared" si="71"/>
        <v>0</v>
      </c>
      <c r="AI71" s="44">
        <f t="shared" si="72"/>
        <v>7027.2979543390065</v>
      </c>
      <c r="AJ71" s="35">
        <f t="shared" si="58"/>
        <v>13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584.9310326817033</v>
      </c>
      <c r="AL71" s="57">
        <v>0</v>
      </c>
      <c r="AM71" s="57">
        <v>0</v>
      </c>
      <c r="AN71" s="61">
        <f t="shared" si="59"/>
        <v>13</v>
      </c>
      <c r="AO71" s="40">
        <f t="shared" si="73"/>
        <v>0</v>
      </c>
      <c r="AP71" s="40">
        <f t="shared" si="74"/>
        <v>0</v>
      </c>
      <c r="AQ71" s="44">
        <f t="shared" si="75"/>
        <v>7604.1034248621427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</v>
      </c>
      <c r="G72" s="35">
        <f>SUMIFS(WORKING!$AC$3:$AC$6802,WORKING!$A$3:$A$6802,Results!$D$3,WORKING!$B$3:$B$6802,Results!A72,WORKING!$C$3:$C$6802,Results!C72)/1000</f>
        <v>231.35391000000001</v>
      </c>
      <c r="H72" s="35">
        <f t="shared" si="60"/>
        <v>231.35391000000001</v>
      </c>
      <c r="I72" s="187">
        <v>0</v>
      </c>
      <c r="J72" s="212">
        <v>0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251.80672401392525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273.2056988562847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296.14627871628721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320.41279798468469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17</v>
      </c>
      <c r="G73" s="35">
        <f>SUMIFS(WORKING!$AC$3:$AC$6802,WORKING!$A$3:$A$6802,Results!$D$3,WORKING!$B$3:$B$6802,Results!A73,WORKING!$C$3:$C$6802,Results!C73)/1000</f>
        <v>8573.2876599999981</v>
      </c>
      <c r="H73" s="35">
        <f t="shared" si="60"/>
        <v>504.31103882352932</v>
      </c>
      <c r="I73" s="187">
        <v>14</v>
      </c>
      <c r="J73" s="212">
        <v>6638</v>
      </c>
      <c r="K73" s="217">
        <f t="shared" si="61"/>
        <v>474.14285714285717</v>
      </c>
      <c r="L73" s="34">
        <f t="shared" si="54"/>
        <v>14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516.80159411439399</v>
      </c>
      <c r="N73" s="57">
        <v>0</v>
      </c>
      <c r="O73" s="57">
        <v>0</v>
      </c>
      <c r="P73" s="61">
        <f t="shared" si="55"/>
        <v>14</v>
      </c>
      <c r="Q73" s="40">
        <f t="shared" si="62"/>
        <v>0</v>
      </c>
      <c r="R73" s="40">
        <f t="shared" si="63"/>
        <v>0</v>
      </c>
      <c r="S73" s="44">
        <f t="shared" si="64"/>
        <v>7235.2223176015159</v>
      </c>
      <c r="T73" s="35">
        <f t="shared" si="65"/>
        <v>14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560.9523486871218</v>
      </c>
      <c r="V73" s="57">
        <v>0</v>
      </c>
      <c r="W73" s="57">
        <v>0</v>
      </c>
      <c r="X73" s="61">
        <f t="shared" si="56"/>
        <v>14</v>
      </c>
      <c r="Y73" s="40">
        <f t="shared" si="66"/>
        <v>0</v>
      </c>
      <c r="Z73" s="40">
        <f t="shared" si="67"/>
        <v>0</v>
      </c>
      <c r="AA73" s="44">
        <f t="shared" si="68"/>
        <v>7853.3328816197054</v>
      </c>
      <c r="AB73" s="35">
        <f t="shared" si="69"/>
        <v>14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608.30599452800016</v>
      </c>
      <c r="AD73" s="57">
        <v>0</v>
      </c>
      <c r="AE73" s="57">
        <v>0</v>
      </c>
      <c r="AF73" s="61">
        <f t="shared" si="57"/>
        <v>14</v>
      </c>
      <c r="AG73" s="40">
        <f t="shared" si="70"/>
        <v>0</v>
      </c>
      <c r="AH73" s="40">
        <f t="shared" si="71"/>
        <v>0</v>
      </c>
      <c r="AI73" s="44">
        <f t="shared" si="72"/>
        <v>8516.2839233920022</v>
      </c>
      <c r="AJ73" s="35">
        <f t="shared" si="58"/>
        <v>14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658.42313153627026</v>
      </c>
      <c r="AL73" s="57">
        <v>0</v>
      </c>
      <c r="AM73" s="57">
        <v>0</v>
      </c>
      <c r="AN73" s="61">
        <f t="shared" si="59"/>
        <v>14</v>
      </c>
      <c r="AO73" s="40">
        <f t="shared" si="73"/>
        <v>0</v>
      </c>
      <c r="AP73" s="40">
        <f t="shared" si="74"/>
        <v>0</v>
      </c>
      <c r="AQ73" s="44">
        <f t="shared" si="75"/>
        <v>9217.9238415077834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</v>
      </c>
      <c r="G74" s="35">
        <f>SUMIFS(WORKING!$AC$3:$AC$6802,WORKING!$A$3:$A$6802,Results!$D$3,WORKING!$B$3:$B$6802,Results!A74,WORKING!$C$3:$C$6802,Results!C74)/1000</f>
        <v>1347.2173</v>
      </c>
      <c r="H74" s="35">
        <f t="shared" si="60"/>
        <v>673.60865000000001</v>
      </c>
      <c r="I74" s="187">
        <v>1</v>
      </c>
      <c r="J74" s="212">
        <v>1323</v>
      </c>
      <c r="K74" s="217">
        <f t="shared" si="61"/>
        <v>1323</v>
      </c>
      <c r="L74" s="34">
        <f t="shared" si="54"/>
        <v>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1444.6665948396317</v>
      </c>
      <c r="N74" s="57">
        <v>0</v>
      </c>
      <c r="O74" s="57">
        <v>0</v>
      </c>
      <c r="P74" s="61">
        <f t="shared" si="55"/>
        <v>1</v>
      </c>
      <c r="Q74" s="40">
        <f t="shared" si="62"/>
        <v>0</v>
      </c>
      <c r="R74" s="40">
        <f t="shared" si="63"/>
        <v>0</v>
      </c>
      <c r="S74" s="44">
        <f t="shared" si="64"/>
        <v>1444.6665948396317</v>
      </c>
      <c r="T74" s="35">
        <f t="shared" si="65"/>
        <v>1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1568.7253820473381</v>
      </c>
      <c r="V74" s="57">
        <v>0</v>
      </c>
      <c r="W74" s="57">
        <v>0</v>
      </c>
      <c r="X74" s="61">
        <f t="shared" si="56"/>
        <v>1</v>
      </c>
      <c r="Y74" s="40">
        <f t="shared" si="66"/>
        <v>0</v>
      </c>
      <c r="Z74" s="40">
        <f t="shared" si="67"/>
        <v>0</v>
      </c>
      <c r="AA74" s="44">
        <f t="shared" si="68"/>
        <v>1568.7253820473381</v>
      </c>
      <c r="AB74" s="35">
        <f t="shared" si="69"/>
        <v>1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1701.8455518741659</v>
      </c>
      <c r="AD74" s="57">
        <v>0</v>
      </c>
      <c r="AE74" s="57">
        <v>0</v>
      </c>
      <c r="AF74" s="61">
        <f t="shared" si="57"/>
        <v>1</v>
      </c>
      <c r="AG74" s="40">
        <f t="shared" si="70"/>
        <v>0</v>
      </c>
      <c r="AH74" s="40">
        <f t="shared" si="71"/>
        <v>0</v>
      </c>
      <c r="AI74" s="44">
        <f t="shared" si="72"/>
        <v>1701.8455518741659</v>
      </c>
      <c r="AJ74" s="35">
        <f t="shared" si="58"/>
        <v>1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1842.8079554744552</v>
      </c>
      <c r="AL74" s="57">
        <v>0</v>
      </c>
      <c r="AM74" s="57">
        <v>0</v>
      </c>
      <c r="AN74" s="61">
        <f t="shared" si="59"/>
        <v>1</v>
      </c>
      <c r="AO74" s="40">
        <f t="shared" si="73"/>
        <v>0</v>
      </c>
      <c r="AP74" s="40">
        <f t="shared" si="74"/>
        <v>0</v>
      </c>
      <c r="AQ74" s="44">
        <f t="shared" si="75"/>
        <v>1842.8079554744552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30</v>
      </c>
      <c r="G75" s="35">
        <f>SUMIFS(WORKING!$AC$3:$AC$6802,WORKING!$A$3:$A$6802,Results!$D$3,WORKING!$B$3:$B$6802,Results!A75,WORKING!$C$3:$C$6802,Results!C75)/1000</f>
        <v>23813.912099999983</v>
      </c>
      <c r="H75" s="35">
        <f t="shared" si="60"/>
        <v>793.79706999999939</v>
      </c>
      <c r="I75" s="187">
        <v>7</v>
      </c>
      <c r="J75" s="212">
        <v>5698</v>
      </c>
      <c r="K75" s="217">
        <f t="shared" si="61"/>
        <v>814</v>
      </c>
      <c r="L75" s="34">
        <f t="shared" si="54"/>
        <v>7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888.64275858342432</v>
      </c>
      <c r="N75" s="57">
        <v>1</v>
      </c>
      <c r="O75" s="57">
        <v>0</v>
      </c>
      <c r="P75" s="61">
        <f t="shared" si="55"/>
        <v>8</v>
      </c>
      <c r="Q75" s="40">
        <f t="shared" si="62"/>
        <v>888.64275858342432</v>
      </c>
      <c r="R75" s="40">
        <f t="shared" si="63"/>
        <v>0</v>
      </c>
      <c r="S75" s="44">
        <f t="shared" si="64"/>
        <v>7109.1420686673946</v>
      </c>
      <c r="T75" s="35">
        <f t="shared" si="65"/>
        <v>8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964.72051488536022</v>
      </c>
      <c r="V75" s="57">
        <v>0</v>
      </c>
      <c r="W75" s="57">
        <v>0</v>
      </c>
      <c r="X75" s="61">
        <f t="shared" si="56"/>
        <v>8</v>
      </c>
      <c r="Y75" s="40">
        <f t="shared" si="66"/>
        <v>0</v>
      </c>
      <c r="Z75" s="40">
        <f t="shared" si="67"/>
        <v>0</v>
      </c>
      <c r="AA75" s="44">
        <f t="shared" si="68"/>
        <v>7717.7641190828817</v>
      </c>
      <c r="AB75" s="35">
        <f t="shared" si="69"/>
        <v>8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1046.3325820935904</v>
      </c>
      <c r="AD75" s="57">
        <v>0</v>
      </c>
      <c r="AE75" s="57">
        <v>0</v>
      </c>
      <c r="AF75" s="61">
        <f t="shared" si="57"/>
        <v>8</v>
      </c>
      <c r="AG75" s="40">
        <f t="shared" si="70"/>
        <v>0</v>
      </c>
      <c r="AH75" s="40">
        <f t="shared" si="71"/>
        <v>0</v>
      </c>
      <c r="AI75" s="44">
        <f t="shared" si="72"/>
        <v>8370.6606567487233</v>
      </c>
      <c r="AJ75" s="35">
        <f t="shared" si="58"/>
        <v>8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1132.7255550875921</v>
      </c>
      <c r="AL75" s="57">
        <v>0</v>
      </c>
      <c r="AM75" s="57">
        <v>0</v>
      </c>
      <c r="AN75" s="61">
        <f t="shared" si="59"/>
        <v>8</v>
      </c>
      <c r="AO75" s="40">
        <f t="shared" si="73"/>
        <v>0</v>
      </c>
      <c r="AP75" s="40">
        <f t="shared" si="74"/>
        <v>0</v>
      </c>
      <c r="AQ75" s="44">
        <f t="shared" si="75"/>
        <v>9061.8044407007364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17</v>
      </c>
      <c r="G76" s="35">
        <f>SUMIFS(WORKING!$AC$3:$AC$6802,WORKING!$A$3:$A$6802,Results!$D$3,WORKING!$B$3:$B$6802,Results!A76,WORKING!$C$3:$C$6802,Results!C76)/1000</f>
        <v>15187.772690000002</v>
      </c>
      <c r="H76" s="35">
        <f t="shared" si="60"/>
        <v>893.39839352941181</v>
      </c>
      <c r="I76" s="187">
        <v>7</v>
      </c>
      <c r="J76" s="212">
        <v>7552</v>
      </c>
      <c r="K76" s="217">
        <f t="shared" si="61"/>
        <v>1078.8571428571429</v>
      </c>
      <c r="L76" s="34">
        <f t="shared" si="54"/>
        <v>7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1130.7363642588373</v>
      </c>
      <c r="N76" s="57">
        <v>0</v>
      </c>
      <c r="O76" s="57">
        <v>0</v>
      </c>
      <c r="P76" s="61">
        <f t="shared" si="55"/>
        <v>7</v>
      </c>
      <c r="Q76" s="40">
        <f t="shared" si="62"/>
        <v>0</v>
      </c>
      <c r="R76" s="40">
        <f t="shared" si="63"/>
        <v>0</v>
      </c>
      <c r="S76" s="44">
        <f t="shared" si="64"/>
        <v>7915.1545498118612</v>
      </c>
      <c r="T76" s="35">
        <f t="shared" si="65"/>
        <v>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1216.0860900266216</v>
      </c>
      <c r="V76" s="57">
        <v>0</v>
      </c>
      <c r="W76" s="57">
        <v>0</v>
      </c>
      <c r="X76" s="61">
        <f t="shared" si="56"/>
        <v>7</v>
      </c>
      <c r="Y76" s="40">
        <f t="shared" si="66"/>
        <v>0</v>
      </c>
      <c r="Z76" s="40">
        <f t="shared" si="67"/>
        <v>0</v>
      </c>
      <c r="AA76" s="44">
        <f t="shared" si="68"/>
        <v>8512.6026301863512</v>
      </c>
      <c r="AB76" s="35">
        <f t="shared" si="69"/>
        <v>7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1306.6442975037378</v>
      </c>
      <c r="AD76" s="57">
        <v>0</v>
      </c>
      <c r="AE76" s="57">
        <v>0</v>
      </c>
      <c r="AF76" s="61">
        <f t="shared" si="57"/>
        <v>7</v>
      </c>
      <c r="AG76" s="40">
        <f t="shared" si="70"/>
        <v>0</v>
      </c>
      <c r="AH76" s="40">
        <f t="shared" si="71"/>
        <v>0</v>
      </c>
      <c r="AI76" s="44">
        <f t="shared" si="72"/>
        <v>9146.5100825261652</v>
      </c>
      <c r="AJ76" s="35">
        <f t="shared" si="58"/>
        <v>7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1401.2946411284679</v>
      </c>
      <c r="AL76" s="57">
        <v>0</v>
      </c>
      <c r="AM76" s="57">
        <v>0</v>
      </c>
      <c r="AN76" s="61">
        <f t="shared" si="59"/>
        <v>7</v>
      </c>
      <c r="AO76" s="40">
        <f t="shared" si="73"/>
        <v>0</v>
      </c>
      <c r="AP76" s="40">
        <f t="shared" si="74"/>
        <v>0</v>
      </c>
      <c r="AQ76" s="44">
        <f t="shared" si="75"/>
        <v>9809.0624878992749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</v>
      </c>
      <c r="G77" s="35">
        <f>SUMIFS(WORKING!$AC$3:$AC$6802,WORKING!$A$3:$A$6802,Results!$D$3,WORKING!$B$3:$B$6802,Results!A77,WORKING!$C$3:$C$6802,Results!C77)/1000</f>
        <v>3395.1140900000005</v>
      </c>
      <c r="H77" s="35">
        <f t="shared" si="60"/>
        <v>1697.5570450000002</v>
      </c>
      <c r="I77" s="187">
        <v>1</v>
      </c>
      <c r="J77" s="212">
        <v>1140</v>
      </c>
      <c r="K77" s="217">
        <f t="shared" si="61"/>
        <v>1140</v>
      </c>
      <c r="L77" s="34">
        <f t="shared" si="54"/>
        <v>1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1195.1084697953202</v>
      </c>
      <c r="N77" s="57">
        <v>0</v>
      </c>
      <c r="O77" s="57">
        <v>0</v>
      </c>
      <c r="P77" s="61">
        <f t="shared" si="55"/>
        <v>1</v>
      </c>
      <c r="Q77" s="40">
        <f t="shared" si="62"/>
        <v>0</v>
      </c>
      <c r="R77" s="40">
        <f t="shared" si="63"/>
        <v>0</v>
      </c>
      <c r="S77" s="44">
        <f t="shared" si="64"/>
        <v>1195.1084697953202</v>
      </c>
      <c r="T77" s="35">
        <f t="shared" si="65"/>
        <v>1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1285.6280547639328</v>
      </c>
      <c r="V77" s="57">
        <v>0</v>
      </c>
      <c r="W77" s="57">
        <v>0</v>
      </c>
      <c r="X77" s="61">
        <f t="shared" si="56"/>
        <v>1</v>
      </c>
      <c r="Y77" s="40">
        <f t="shared" si="66"/>
        <v>0</v>
      </c>
      <c r="Z77" s="40">
        <f t="shared" si="67"/>
        <v>0</v>
      </c>
      <c r="AA77" s="44">
        <f t="shared" si="68"/>
        <v>1285.6280547639328</v>
      </c>
      <c r="AB77" s="35">
        <f t="shared" si="69"/>
        <v>1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1381.6990293243105</v>
      </c>
      <c r="AD77" s="57">
        <v>0</v>
      </c>
      <c r="AE77" s="57">
        <v>0</v>
      </c>
      <c r="AF77" s="61">
        <f t="shared" si="57"/>
        <v>1</v>
      </c>
      <c r="AG77" s="40">
        <f t="shared" si="70"/>
        <v>0</v>
      </c>
      <c r="AH77" s="40">
        <f t="shared" si="71"/>
        <v>0</v>
      </c>
      <c r="AI77" s="44">
        <f t="shared" si="72"/>
        <v>1381.6990293243105</v>
      </c>
      <c r="AJ77" s="35">
        <f t="shared" si="58"/>
        <v>1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1482.1446517337536</v>
      </c>
      <c r="AL77" s="57">
        <v>0</v>
      </c>
      <c r="AM77" s="57">
        <v>0</v>
      </c>
      <c r="AN77" s="61">
        <f t="shared" si="59"/>
        <v>1</v>
      </c>
      <c r="AO77" s="40">
        <f t="shared" si="73"/>
        <v>0</v>
      </c>
      <c r="AP77" s="40">
        <f t="shared" si="74"/>
        <v>0</v>
      </c>
      <c r="AQ77" s="44">
        <f t="shared" si="75"/>
        <v>1482.1446517337536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14</v>
      </c>
      <c r="G78" s="35">
        <f>SUMIFS(WORKING!$AC$3:$AC$6802,WORKING!$A$3:$A$6802,Results!$D$3,WORKING!$B$3:$B$6802,Results!A78,WORKING!$C$3:$C$6802,Results!C78)/1000</f>
        <v>14697.623200000004</v>
      </c>
      <c r="H78" s="35">
        <f t="shared" si="60"/>
        <v>1049.8302285714287</v>
      </c>
      <c r="I78" s="187">
        <v>14</v>
      </c>
      <c r="J78" s="212">
        <v>15595</v>
      </c>
      <c r="K78" s="217">
        <f t="shared" si="61"/>
        <v>1113.9285714285713</v>
      </c>
      <c r="L78" s="34">
        <f t="shared" si="54"/>
        <v>14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1167.5395273915062</v>
      </c>
      <c r="N78" s="57">
        <v>0</v>
      </c>
      <c r="O78" s="57">
        <v>0</v>
      </c>
      <c r="P78" s="61">
        <f t="shared" si="55"/>
        <v>14</v>
      </c>
      <c r="Q78" s="40">
        <f t="shared" si="62"/>
        <v>0</v>
      </c>
      <c r="R78" s="40">
        <f t="shared" si="63"/>
        <v>0</v>
      </c>
      <c r="S78" s="44">
        <f t="shared" si="64"/>
        <v>16345.553383481087</v>
      </c>
      <c r="T78" s="35">
        <f t="shared" si="65"/>
        <v>14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1255.7158776496351</v>
      </c>
      <c r="V78" s="57">
        <v>0</v>
      </c>
      <c r="W78" s="57">
        <v>0</v>
      </c>
      <c r="X78" s="61">
        <f t="shared" si="56"/>
        <v>14</v>
      </c>
      <c r="Y78" s="40">
        <f t="shared" si="66"/>
        <v>0</v>
      </c>
      <c r="Z78" s="40">
        <f t="shared" si="67"/>
        <v>0</v>
      </c>
      <c r="AA78" s="44">
        <f t="shared" si="68"/>
        <v>17580.022287094893</v>
      </c>
      <c r="AB78" s="35">
        <f t="shared" si="69"/>
        <v>14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1349.2774849616844</v>
      </c>
      <c r="AD78" s="57">
        <v>0</v>
      </c>
      <c r="AE78" s="57">
        <v>0</v>
      </c>
      <c r="AF78" s="61">
        <f t="shared" si="57"/>
        <v>14</v>
      </c>
      <c r="AG78" s="40">
        <f t="shared" si="70"/>
        <v>0</v>
      </c>
      <c r="AH78" s="40">
        <f t="shared" si="71"/>
        <v>0</v>
      </c>
      <c r="AI78" s="44">
        <f t="shared" si="72"/>
        <v>18889.884789463584</v>
      </c>
      <c r="AJ78" s="35">
        <f t="shared" si="58"/>
        <v>14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1447.0721607079133</v>
      </c>
      <c r="AL78" s="57">
        <v>0</v>
      </c>
      <c r="AM78" s="57">
        <v>0</v>
      </c>
      <c r="AN78" s="61">
        <f t="shared" si="59"/>
        <v>14</v>
      </c>
      <c r="AO78" s="40">
        <f t="shared" si="73"/>
        <v>0</v>
      </c>
      <c r="AP78" s="40">
        <f t="shared" si="74"/>
        <v>0</v>
      </c>
      <c r="AQ78" s="44">
        <f t="shared" si="75"/>
        <v>20259.010249910785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1</v>
      </c>
      <c r="G79" s="35">
        <f>SUMIFS(WORKING!$AC$3:$AC$6802,WORKING!$A$3:$A$6802,Results!$D$3,WORKING!$B$3:$B$6802,Results!A79,WORKING!$C$3:$C$6802,Results!C79)/1000</f>
        <v>2010.2284800000002</v>
      </c>
      <c r="H79" s="35">
        <f t="shared" si="60"/>
        <v>2010.2284800000002</v>
      </c>
      <c r="I79" s="187">
        <v>1</v>
      </c>
      <c r="J79" s="212">
        <v>2141</v>
      </c>
      <c r="K79" s="217">
        <f t="shared" si="61"/>
        <v>2141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2244.7591839541228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2244.7591839541228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2415.0625896481783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2415.0625896481783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2595.8352099922754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2595.8352099922754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2784.869664698012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2784.869664698012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755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0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176</v>
      </c>
      <c r="G84" s="41">
        <f>SUM(G64:G83)</f>
        <v>90290.961989999996</v>
      </c>
      <c r="H84" s="41">
        <f>IFERROR(G84/F84,0)</f>
        <v>513.01682948863629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122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58299.856</v>
      </c>
      <c r="K84" s="41">
        <f>IFERROR(J84/I84,"")</f>
        <v>477.86767213114751</v>
      </c>
      <c r="L84" s="41">
        <f>SUM(L64:L83)</f>
        <v>122</v>
      </c>
      <c r="M84" s="41">
        <f>IFERROR(S84/P84,0)</f>
        <v>567.67097634296965</v>
      </c>
      <c r="N84" s="41">
        <f t="shared" ref="N84:T84" si="98">SUM(N64:N83)</f>
        <v>1</v>
      </c>
      <c r="O84" s="41">
        <f t="shared" si="98"/>
        <v>13</v>
      </c>
      <c r="P84" s="41">
        <f t="shared" si="98"/>
        <v>110</v>
      </c>
      <c r="Q84" s="41">
        <f t="shared" si="98"/>
        <v>888.64275858342432</v>
      </c>
      <c r="R84" s="41">
        <f t="shared" si="98"/>
        <v>-854.86207113267437</v>
      </c>
      <c r="S84" s="45">
        <f t="shared" si="98"/>
        <v>62443.807397726661</v>
      </c>
      <c r="T84" s="41">
        <f t="shared" si="98"/>
        <v>110</v>
      </c>
      <c r="U84" s="41">
        <f>IFERROR(AA84/X84,0)</f>
        <v>613.59357240696647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110</v>
      </c>
      <c r="Y84" s="41">
        <f t="shared" si="99"/>
        <v>0</v>
      </c>
      <c r="Z84" s="41">
        <f t="shared" si="99"/>
        <v>0</v>
      </c>
      <c r="AA84" s="45">
        <f t="shared" si="99"/>
        <v>67495.292964766311</v>
      </c>
      <c r="AB84" s="41">
        <f t="shared" si="99"/>
        <v>110</v>
      </c>
      <c r="AC84" s="41">
        <f>IFERROR(AI84/AF84,0)</f>
        <v>662.62177633505405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110</v>
      </c>
      <c r="AG84" s="41">
        <f t="shared" si="100"/>
        <v>0</v>
      </c>
      <c r="AH84" s="41">
        <f t="shared" si="100"/>
        <v>0</v>
      </c>
      <c r="AI84" s="45">
        <f t="shared" si="100"/>
        <v>72888.395396855951</v>
      </c>
      <c r="AJ84" s="41">
        <f t="shared" si="100"/>
        <v>110</v>
      </c>
      <c r="AK84" s="41">
        <f>IFERROR(AQ84/AN84,0)</f>
        <v>714.23733842553338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110</v>
      </c>
      <c r="AO84" s="41">
        <f t="shared" si="101"/>
        <v>0</v>
      </c>
      <c r="AP84" s="41">
        <f t="shared" si="101"/>
        <v>0</v>
      </c>
      <c r="AQ84" s="45">
        <f t="shared" si="101"/>
        <v>78566.107226808672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67484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69050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73748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79352.847999999998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5040.1926022733387</v>
      </c>
      <c r="T86" s="39"/>
      <c r="U86" s="39"/>
      <c r="V86" s="53"/>
      <c r="W86" s="53"/>
      <c r="X86" s="110"/>
      <c r="Y86" s="39"/>
      <c r="Z86" s="39"/>
      <c r="AA86" s="54">
        <f>AA85-AA84</f>
        <v>1554.7070352336887</v>
      </c>
      <c r="AB86" s="39"/>
      <c r="AC86" s="53"/>
      <c r="AD86" s="53"/>
      <c r="AE86" s="110"/>
      <c r="AF86" s="39"/>
      <c r="AG86" s="39"/>
      <c r="AH86" s="39"/>
      <c r="AI86" s="54">
        <f>AI85-AI84</f>
        <v>859.60460314404918</v>
      </c>
      <c r="AJ86" s="53"/>
      <c r="AK86" s="53"/>
      <c r="AL86" s="110"/>
      <c r="AM86" s="110"/>
      <c r="AN86" s="110"/>
      <c r="AO86" s="110"/>
      <c r="AP86" s="111"/>
      <c r="AQ86" s="54">
        <f>AQ85-AQ84</f>
        <v>786.7407731913263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Leadership and Management Practices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1</v>
      </c>
      <c r="G92" s="35">
        <f>SUMIFS(WORKING!$AC$3:$AC$6802,WORKING!$A$3:$A$6802,Results!$D$3,WORKING!$B$3:$B$6802,Results!A92,WORKING!$C$3:$C$6802,Results!C92)/1000</f>
        <v>254.56199999999998</v>
      </c>
      <c r="H92" s="35">
        <f>IFERROR(G92/F92,0)</f>
        <v>254.56199999999998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278.01734267999996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301.94073501761392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327.61626541983668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354.81005353101017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2</v>
      </c>
      <c r="G93" s="35">
        <f>SUMIFS(WORKING!$AC$3:$AC$6802,WORKING!$A$3:$A$6802,Results!$D$3,WORKING!$B$3:$B$6802,Results!A93,WORKING!$C$3:$C$6802,Results!C93)/1000</f>
        <v>104.78171</v>
      </c>
      <c r="H93" s="35">
        <f t="shared" ref="H93:H111" si="108">IFERROR(G93/F93,0)</f>
        <v>52.390855000000002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56.923923260682159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61.731926427033954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66.883429599519005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72.32917226495104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1</v>
      </c>
      <c r="G94" s="35">
        <f>SUMIFS(WORKING!$AC$3:$AC$6802,WORKING!$A$3:$A$6802,Results!$D$3,WORKING!$B$3:$B$6802,Results!A94,WORKING!$C$3:$C$6802,Results!C94)/1000</f>
        <v>143.48838999999998</v>
      </c>
      <c r="H94" s="35">
        <f t="shared" si="108"/>
        <v>143.48838999999998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155.70178979550391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168.79179864273138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182.81116605957652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197.62425111683621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9</v>
      </c>
      <c r="G96" s="35">
        <f>SUMIFS(WORKING!$AC$3:$AC$6802,WORKING!$A$3:$A$6802,Results!$D$3,WORKING!$B$3:$B$6802,Results!A96,WORKING!$C$3:$C$6802,Results!C96)/1000</f>
        <v>1653.6306199999999</v>
      </c>
      <c r="H96" s="35">
        <f t="shared" si="108"/>
        <v>183.73673555555555</v>
      </c>
      <c r="I96" s="187">
        <v>3</v>
      </c>
      <c r="J96" s="212">
        <v>545</v>
      </c>
      <c r="K96" s="217">
        <f t="shared" si="109"/>
        <v>181.66666666666666</v>
      </c>
      <c r="L96" s="34">
        <f t="shared" si="102"/>
        <v>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197.74614407953533</v>
      </c>
      <c r="N96" s="57">
        <v>0</v>
      </c>
      <c r="O96" s="57">
        <v>0</v>
      </c>
      <c r="P96" s="61">
        <f t="shared" si="103"/>
        <v>3</v>
      </c>
      <c r="Q96" s="40">
        <f t="shared" si="110"/>
        <v>0</v>
      </c>
      <c r="R96" s="40">
        <f t="shared" si="111"/>
        <v>0</v>
      </c>
      <c r="S96" s="44">
        <f t="shared" si="112"/>
        <v>593.23843223860604</v>
      </c>
      <c r="T96" s="35">
        <f t="shared" si="113"/>
        <v>3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214.556976004088</v>
      </c>
      <c r="V96" s="57">
        <v>0</v>
      </c>
      <c r="W96" s="57">
        <v>0</v>
      </c>
      <c r="X96" s="61">
        <f t="shared" si="104"/>
        <v>3</v>
      </c>
      <c r="Y96" s="40">
        <f t="shared" si="114"/>
        <v>0</v>
      </c>
      <c r="Z96" s="40">
        <f t="shared" si="115"/>
        <v>0</v>
      </c>
      <c r="AA96" s="44">
        <f t="shared" si="116"/>
        <v>643.67092801226397</v>
      </c>
      <c r="AB96" s="35">
        <f t="shared" si="117"/>
        <v>3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232.57943007031315</v>
      </c>
      <c r="AD96" s="57">
        <v>0</v>
      </c>
      <c r="AE96" s="57">
        <v>0</v>
      </c>
      <c r="AF96" s="61">
        <f t="shared" si="105"/>
        <v>3</v>
      </c>
      <c r="AG96" s="40">
        <f t="shared" si="118"/>
        <v>0</v>
      </c>
      <c r="AH96" s="40">
        <f t="shared" si="119"/>
        <v>0</v>
      </c>
      <c r="AI96" s="44">
        <f t="shared" si="120"/>
        <v>697.73829021093945</v>
      </c>
      <c r="AJ96" s="35">
        <f t="shared" si="106"/>
        <v>3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251.64419564745074</v>
      </c>
      <c r="AL96" s="57">
        <v>0</v>
      </c>
      <c r="AM96" s="57">
        <v>0</v>
      </c>
      <c r="AN96" s="61">
        <f t="shared" si="107"/>
        <v>3</v>
      </c>
      <c r="AO96" s="40">
        <f t="shared" si="121"/>
        <v>0</v>
      </c>
      <c r="AP96" s="40">
        <f t="shared" si="122"/>
        <v>0</v>
      </c>
      <c r="AQ96" s="44">
        <f t="shared" si="123"/>
        <v>754.93258694235226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8</v>
      </c>
      <c r="G97" s="35">
        <f>SUMIFS(WORKING!$AC$3:$AC$6802,WORKING!$A$3:$A$6802,Results!$D$3,WORKING!$B$3:$B$6802,Results!A97,WORKING!$C$3:$C$6802,Results!C97)/1000</f>
        <v>1817.5576599999999</v>
      </c>
      <c r="H97" s="35">
        <f t="shared" si="108"/>
        <v>227.19470749999999</v>
      </c>
      <c r="I97" s="187">
        <v>5</v>
      </c>
      <c r="J97" s="212">
        <v>1477</v>
      </c>
      <c r="K97" s="217">
        <f t="shared" si="109"/>
        <v>295.39999999999998</v>
      </c>
      <c r="L97" s="34">
        <f t="shared" si="102"/>
        <v>5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321.17287762271343</v>
      </c>
      <c r="N97" s="57">
        <v>0</v>
      </c>
      <c r="O97" s="57">
        <v>0</v>
      </c>
      <c r="P97" s="61">
        <f t="shared" si="103"/>
        <v>5</v>
      </c>
      <c r="Q97" s="40">
        <f t="shared" si="110"/>
        <v>0</v>
      </c>
      <c r="R97" s="40">
        <f t="shared" si="111"/>
        <v>0</v>
      </c>
      <c r="S97" s="44">
        <f t="shared" si="112"/>
        <v>1605.8643881135672</v>
      </c>
      <c r="T97" s="35">
        <f t="shared" si="113"/>
        <v>5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348.36073679714707</v>
      </c>
      <c r="V97" s="57">
        <v>0</v>
      </c>
      <c r="W97" s="57">
        <v>0</v>
      </c>
      <c r="X97" s="61">
        <f t="shared" si="104"/>
        <v>5</v>
      </c>
      <c r="Y97" s="40">
        <f t="shared" si="114"/>
        <v>0</v>
      </c>
      <c r="Z97" s="40">
        <f t="shared" si="115"/>
        <v>0</v>
      </c>
      <c r="AA97" s="44">
        <f t="shared" si="116"/>
        <v>1741.8036839857355</v>
      </c>
      <c r="AB97" s="35">
        <f t="shared" si="117"/>
        <v>5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377.49711868839478</v>
      </c>
      <c r="AD97" s="57">
        <v>0</v>
      </c>
      <c r="AE97" s="57">
        <v>0</v>
      </c>
      <c r="AF97" s="61">
        <f t="shared" si="105"/>
        <v>5</v>
      </c>
      <c r="AG97" s="40">
        <f t="shared" si="118"/>
        <v>0</v>
      </c>
      <c r="AH97" s="40">
        <f t="shared" si="119"/>
        <v>0</v>
      </c>
      <c r="AI97" s="44">
        <f t="shared" si="120"/>
        <v>1887.4855934419738</v>
      </c>
      <c r="AJ97" s="35">
        <f t="shared" si="106"/>
        <v>5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408.30542323890694</v>
      </c>
      <c r="AL97" s="57">
        <v>0</v>
      </c>
      <c r="AM97" s="57">
        <v>0</v>
      </c>
      <c r="AN97" s="61">
        <f t="shared" si="107"/>
        <v>5</v>
      </c>
      <c r="AO97" s="40">
        <f t="shared" si="121"/>
        <v>0</v>
      </c>
      <c r="AP97" s="40">
        <f t="shared" si="122"/>
        <v>0</v>
      </c>
      <c r="AQ97" s="44">
        <f t="shared" si="123"/>
        <v>2041.5271161945348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12</v>
      </c>
      <c r="G98" s="35">
        <f>SUMIFS(WORKING!$AC$3:$AC$6802,WORKING!$A$3:$A$6802,Results!$D$3,WORKING!$B$3:$B$6802,Results!A98,WORKING!$C$3:$C$6802,Results!C98)/1000</f>
        <v>3321.0111499999998</v>
      </c>
      <c r="H98" s="35">
        <f t="shared" si="108"/>
        <v>276.75092916666665</v>
      </c>
      <c r="I98" s="187">
        <v>4</v>
      </c>
      <c r="J98" s="212">
        <v>1281</v>
      </c>
      <c r="K98" s="217">
        <f t="shared" si="109"/>
        <v>320.25</v>
      </c>
      <c r="L98" s="34">
        <f t="shared" si="102"/>
        <v>4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348.67120379950427</v>
      </c>
      <c r="N98" s="57">
        <v>0</v>
      </c>
      <c r="O98" s="57">
        <v>0</v>
      </c>
      <c r="P98" s="61">
        <f t="shared" si="103"/>
        <v>4</v>
      </c>
      <c r="Q98" s="40">
        <f t="shared" si="110"/>
        <v>0</v>
      </c>
      <c r="R98" s="40">
        <f t="shared" si="111"/>
        <v>0</v>
      </c>
      <c r="S98" s="44">
        <f t="shared" si="112"/>
        <v>1394.6848151980171</v>
      </c>
      <c r="T98" s="35">
        <f t="shared" si="113"/>
        <v>4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378.33569583699608</v>
      </c>
      <c r="V98" s="57">
        <v>0</v>
      </c>
      <c r="W98" s="57">
        <v>0</v>
      </c>
      <c r="X98" s="61">
        <f t="shared" si="104"/>
        <v>4</v>
      </c>
      <c r="Y98" s="40">
        <f t="shared" si="114"/>
        <v>0</v>
      </c>
      <c r="Z98" s="40">
        <f t="shared" si="115"/>
        <v>0</v>
      </c>
      <c r="AA98" s="44">
        <f t="shared" si="116"/>
        <v>1513.3427833479843</v>
      </c>
      <c r="AB98" s="35">
        <f t="shared" si="117"/>
        <v>4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410.14048042217763</v>
      </c>
      <c r="AD98" s="57">
        <v>0</v>
      </c>
      <c r="AE98" s="57">
        <v>0</v>
      </c>
      <c r="AF98" s="61">
        <f t="shared" si="105"/>
        <v>4</v>
      </c>
      <c r="AG98" s="40">
        <f t="shared" si="118"/>
        <v>0</v>
      </c>
      <c r="AH98" s="40">
        <f t="shared" si="119"/>
        <v>0</v>
      </c>
      <c r="AI98" s="44">
        <f t="shared" si="120"/>
        <v>1640.5619216887105</v>
      </c>
      <c r="AJ98" s="35">
        <f t="shared" si="106"/>
        <v>4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443.78740427744549</v>
      </c>
      <c r="AL98" s="57">
        <v>0</v>
      </c>
      <c r="AM98" s="57">
        <v>0</v>
      </c>
      <c r="AN98" s="61">
        <f t="shared" si="107"/>
        <v>4</v>
      </c>
      <c r="AO98" s="40">
        <f t="shared" si="121"/>
        <v>0</v>
      </c>
      <c r="AP98" s="40">
        <f t="shared" si="122"/>
        <v>0</v>
      </c>
      <c r="AQ98" s="44">
        <f t="shared" si="123"/>
        <v>1775.149617109782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1</v>
      </c>
      <c r="J99" s="212">
        <v>404</v>
      </c>
      <c r="K99" s="217">
        <f t="shared" si="109"/>
        <v>404</v>
      </c>
      <c r="L99" s="34">
        <f t="shared" si="102"/>
        <v>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433.82638454640488</v>
      </c>
      <c r="N99" s="57">
        <v>0</v>
      </c>
      <c r="O99" s="57">
        <v>0</v>
      </c>
      <c r="P99" s="61">
        <f t="shared" si="103"/>
        <v>1</v>
      </c>
      <c r="Q99" s="40">
        <f t="shared" si="110"/>
        <v>0</v>
      </c>
      <c r="R99" s="40">
        <f t="shared" si="111"/>
        <v>0</v>
      </c>
      <c r="S99" s="44">
        <f t="shared" si="112"/>
        <v>433.82638454640488</v>
      </c>
      <c r="T99" s="35">
        <f t="shared" si="113"/>
        <v>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464.20859944703693</v>
      </c>
      <c r="V99" s="57">
        <v>0</v>
      </c>
      <c r="W99" s="57">
        <v>0</v>
      </c>
      <c r="X99" s="61">
        <f t="shared" si="104"/>
        <v>1</v>
      </c>
      <c r="Y99" s="40">
        <f t="shared" si="114"/>
        <v>0</v>
      </c>
      <c r="Z99" s="40">
        <f t="shared" si="115"/>
        <v>0</v>
      </c>
      <c r="AA99" s="44">
        <f t="shared" si="116"/>
        <v>464.20859944703693</v>
      </c>
      <c r="AB99" s="35">
        <f t="shared" si="117"/>
        <v>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496.25436702588917</v>
      </c>
      <c r="AD99" s="57">
        <v>0</v>
      </c>
      <c r="AE99" s="57">
        <v>0</v>
      </c>
      <c r="AF99" s="61">
        <f t="shared" si="105"/>
        <v>1</v>
      </c>
      <c r="AG99" s="40">
        <f t="shared" si="118"/>
        <v>0</v>
      </c>
      <c r="AH99" s="40">
        <f t="shared" si="119"/>
        <v>0</v>
      </c>
      <c r="AI99" s="44">
        <f t="shared" si="120"/>
        <v>496.25436702588917</v>
      </c>
      <c r="AJ99" s="35">
        <f t="shared" si="106"/>
        <v>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529.51984516378559</v>
      </c>
      <c r="AL99" s="57">
        <v>0</v>
      </c>
      <c r="AM99" s="57">
        <v>0</v>
      </c>
      <c r="AN99" s="61">
        <f t="shared" si="107"/>
        <v>1</v>
      </c>
      <c r="AO99" s="40">
        <f t="shared" si="121"/>
        <v>0</v>
      </c>
      <c r="AP99" s="40">
        <f t="shared" si="122"/>
        <v>0</v>
      </c>
      <c r="AQ99" s="44">
        <f t="shared" si="123"/>
        <v>529.51984516378559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</v>
      </c>
      <c r="G100" s="35">
        <f>SUMIFS(WORKING!$AC$3:$AC$6802,WORKING!$A$3:$A$6802,Results!$D$3,WORKING!$B$3:$B$6802,Results!A100,WORKING!$C$3:$C$6802,Results!C100)/1000</f>
        <v>407.11601999999999</v>
      </c>
      <c r="H100" s="35">
        <f t="shared" si="108"/>
        <v>407.11601999999999</v>
      </c>
      <c r="I100" s="187">
        <v>0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443.39105154671756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481.16000804953273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521.65835732194989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564.50756760737625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19</v>
      </c>
      <c r="G101" s="35">
        <f>SUMIFS(WORKING!$AC$3:$AC$6802,WORKING!$A$3:$A$6802,Results!$D$3,WORKING!$B$3:$B$6802,Results!A101,WORKING!$C$3:$C$6802,Results!C101)/1000</f>
        <v>9933.8443599999991</v>
      </c>
      <c r="H101" s="35">
        <f t="shared" si="108"/>
        <v>522.83391368421053</v>
      </c>
      <c r="I101" s="187">
        <v>5</v>
      </c>
      <c r="J101" s="212">
        <v>2629</v>
      </c>
      <c r="K101" s="217">
        <f t="shared" si="109"/>
        <v>525.79999999999995</v>
      </c>
      <c r="L101" s="34">
        <f t="shared" si="102"/>
        <v>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573.01186314243796</v>
      </c>
      <c r="N101" s="57">
        <v>0</v>
      </c>
      <c r="O101" s="57">
        <v>0</v>
      </c>
      <c r="P101" s="61">
        <f t="shared" si="103"/>
        <v>5</v>
      </c>
      <c r="Q101" s="40">
        <f t="shared" si="110"/>
        <v>0</v>
      </c>
      <c r="R101" s="40">
        <f t="shared" si="111"/>
        <v>0</v>
      </c>
      <c r="S101" s="44">
        <f t="shared" si="112"/>
        <v>2865.0593157121898</v>
      </c>
      <c r="T101" s="35">
        <f t="shared" si="113"/>
        <v>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621.93562440899689</v>
      </c>
      <c r="V101" s="57">
        <v>0</v>
      </c>
      <c r="W101" s="57">
        <v>0</v>
      </c>
      <c r="X101" s="61">
        <f t="shared" si="104"/>
        <v>5</v>
      </c>
      <c r="Y101" s="40">
        <f t="shared" si="114"/>
        <v>0</v>
      </c>
      <c r="Z101" s="40">
        <f t="shared" si="115"/>
        <v>0</v>
      </c>
      <c r="AA101" s="44">
        <f t="shared" si="116"/>
        <v>3109.6781220449843</v>
      </c>
      <c r="AB101" s="35">
        <f t="shared" si="117"/>
        <v>5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674.40572578654292</v>
      </c>
      <c r="AD101" s="57">
        <v>0</v>
      </c>
      <c r="AE101" s="57">
        <v>0</v>
      </c>
      <c r="AF101" s="61">
        <f t="shared" si="105"/>
        <v>5</v>
      </c>
      <c r="AG101" s="40">
        <f t="shared" si="118"/>
        <v>0</v>
      </c>
      <c r="AH101" s="40">
        <f t="shared" si="119"/>
        <v>0</v>
      </c>
      <c r="AI101" s="44">
        <f t="shared" si="120"/>
        <v>3372.0286289327146</v>
      </c>
      <c r="AJ101" s="35">
        <f t="shared" si="106"/>
        <v>5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729.93453590167678</v>
      </c>
      <c r="AL101" s="57">
        <v>0</v>
      </c>
      <c r="AM101" s="57">
        <v>0</v>
      </c>
      <c r="AN101" s="61">
        <f t="shared" si="107"/>
        <v>5</v>
      </c>
      <c r="AO101" s="40">
        <f t="shared" si="121"/>
        <v>0</v>
      </c>
      <c r="AP101" s="40">
        <f t="shared" si="122"/>
        <v>0</v>
      </c>
      <c r="AQ101" s="44">
        <f t="shared" si="123"/>
        <v>3649.6726795083841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1.8914600000000001</v>
      </c>
      <c r="H102" s="35">
        <f t="shared" si="108"/>
        <v>0</v>
      </c>
      <c r="I102" s="187">
        <v>0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46</v>
      </c>
      <c r="G103" s="35">
        <f>SUMIFS(WORKING!$AC$3:$AC$6802,WORKING!$A$3:$A$6802,Results!$D$3,WORKING!$B$3:$B$6802,Results!A103,WORKING!$C$3:$C$6802,Results!C103)/1000</f>
        <v>34464.137849999985</v>
      </c>
      <c r="H103" s="35">
        <f t="shared" si="108"/>
        <v>749.2203880434779</v>
      </c>
      <c r="I103" s="187">
        <v>25</v>
      </c>
      <c r="J103" s="212">
        <v>18869</v>
      </c>
      <c r="K103" s="217">
        <f t="shared" si="109"/>
        <v>754.76</v>
      </c>
      <c r="L103" s="34">
        <f t="shared" si="102"/>
        <v>25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824.05481280780066</v>
      </c>
      <c r="N103" s="57">
        <v>0</v>
      </c>
      <c r="O103" s="57">
        <v>0</v>
      </c>
      <c r="P103" s="61">
        <f t="shared" si="103"/>
        <v>25</v>
      </c>
      <c r="Q103" s="40">
        <f t="shared" si="110"/>
        <v>0</v>
      </c>
      <c r="R103" s="40">
        <f t="shared" si="111"/>
        <v>0</v>
      </c>
      <c r="S103" s="44">
        <f t="shared" si="112"/>
        <v>20601.370320195016</v>
      </c>
      <c r="T103" s="35">
        <f t="shared" si="113"/>
        <v>25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894.69463043019357</v>
      </c>
      <c r="V103" s="57">
        <v>0</v>
      </c>
      <c r="W103" s="57">
        <v>0</v>
      </c>
      <c r="X103" s="61">
        <f t="shared" si="104"/>
        <v>25</v>
      </c>
      <c r="Y103" s="40">
        <f t="shared" si="114"/>
        <v>0</v>
      </c>
      <c r="Z103" s="40">
        <f t="shared" si="115"/>
        <v>0</v>
      </c>
      <c r="AA103" s="44">
        <f t="shared" si="116"/>
        <v>22367.365760754838</v>
      </c>
      <c r="AB103" s="35">
        <f t="shared" si="117"/>
        <v>25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970.48200988611484</v>
      </c>
      <c r="AD103" s="57">
        <v>0</v>
      </c>
      <c r="AE103" s="57">
        <v>0</v>
      </c>
      <c r="AF103" s="61">
        <f t="shared" si="105"/>
        <v>25</v>
      </c>
      <c r="AG103" s="40">
        <f t="shared" si="118"/>
        <v>0</v>
      </c>
      <c r="AH103" s="40">
        <f t="shared" si="119"/>
        <v>0</v>
      </c>
      <c r="AI103" s="44">
        <f t="shared" si="120"/>
        <v>24262.050247152871</v>
      </c>
      <c r="AJ103" s="35">
        <f t="shared" si="106"/>
        <v>25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1050.7196677581612</v>
      </c>
      <c r="AL103" s="57">
        <v>0</v>
      </c>
      <c r="AM103" s="57">
        <v>0</v>
      </c>
      <c r="AN103" s="61">
        <f t="shared" si="107"/>
        <v>25</v>
      </c>
      <c r="AO103" s="40">
        <f t="shared" si="121"/>
        <v>0</v>
      </c>
      <c r="AP103" s="40">
        <f t="shared" si="122"/>
        <v>0</v>
      </c>
      <c r="AQ103" s="44">
        <f t="shared" si="123"/>
        <v>26267.991693954031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17</v>
      </c>
      <c r="G104" s="35">
        <f>SUMIFS(WORKING!$AC$3:$AC$6802,WORKING!$A$3:$A$6802,Results!$D$3,WORKING!$B$3:$B$6802,Results!A104,WORKING!$C$3:$C$6802,Results!C104)/1000</f>
        <v>16321.783590000003</v>
      </c>
      <c r="H104" s="35">
        <f t="shared" si="108"/>
        <v>960.10491705882373</v>
      </c>
      <c r="I104" s="187">
        <v>8</v>
      </c>
      <c r="J104" s="212">
        <v>7481</v>
      </c>
      <c r="K104" s="217">
        <f t="shared" si="109"/>
        <v>935.125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980.07121820881252</v>
      </c>
      <c r="N104" s="57">
        <v>0</v>
      </c>
      <c r="O104" s="57">
        <v>0</v>
      </c>
      <c r="P104" s="61">
        <f t="shared" si="103"/>
        <v>8</v>
      </c>
      <c r="Q104" s="40">
        <f t="shared" si="110"/>
        <v>0</v>
      </c>
      <c r="R104" s="40">
        <f t="shared" si="111"/>
        <v>0</v>
      </c>
      <c r="S104" s="44">
        <f t="shared" si="112"/>
        <v>7840.5697456705002</v>
      </c>
      <c r="T104" s="35">
        <f t="shared" si="113"/>
        <v>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1054.0255703756873</v>
      </c>
      <c r="V104" s="57">
        <v>0</v>
      </c>
      <c r="W104" s="57">
        <v>0</v>
      </c>
      <c r="X104" s="61">
        <f t="shared" si="104"/>
        <v>8</v>
      </c>
      <c r="Y104" s="40">
        <f t="shared" si="114"/>
        <v>0</v>
      </c>
      <c r="Z104" s="40">
        <f t="shared" si="115"/>
        <v>0</v>
      </c>
      <c r="AA104" s="44">
        <f t="shared" si="116"/>
        <v>8432.2045630054981</v>
      </c>
      <c r="AB104" s="35">
        <f t="shared" si="117"/>
        <v>8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1132.4909838900687</v>
      </c>
      <c r="AD104" s="57">
        <v>0</v>
      </c>
      <c r="AE104" s="57">
        <v>0</v>
      </c>
      <c r="AF104" s="61">
        <f t="shared" si="105"/>
        <v>8</v>
      </c>
      <c r="AG104" s="40">
        <f t="shared" si="118"/>
        <v>0</v>
      </c>
      <c r="AH104" s="40">
        <f t="shared" si="119"/>
        <v>0</v>
      </c>
      <c r="AI104" s="44">
        <f t="shared" si="120"/>
        <v>9059.9278711205498</v>
      </c>
      <c r="AJ104" s="35">
        <f t="shared" si="106"/>
        <v>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1214.4996294101206</v>
      </c>
      <c r="AL104" s="57">
        <v>0</v>
      </c>
      <c r="AM104" s="57">
        <v>0</v>
      </c>
      <c r="AN104" s="61">
        <f t="shared" si="107"/>
        <v>8</v>
      </c>
      <c r="AO104" s="40">
        <f t="shared" si="121"/>
        <v>0</v>
      </c>
      <c r="AP104" s="40">
        <f t="shared" si="122"/>
        <v>0</v>
      </c>
      <c r="AQ104" s="44">
        <f t="shared" si="123"/>
        <v>9715.9970352809651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4</v>
      </c>
      <c r="G105" s="35">
        <f>SUMIFS(WORKING!$AC$3:$AC$6802,WORKING!$A$3:$A$6802,Results!$D$3,WORKING!$B$3:$B$6802,Results!A105,WORKING!$C$3:$C$6802,Results!C105)/1000</f>
        <v>3926.3371299999994</v>
      </c>
      <c r="H105" s="35">
        <f t="shared" si="108"/>
        <v>981.58428249999986</v>
      </c>
      <c r="I105" s="187">
        <v>1</v>
      </c>
      <c r="J105" s="212">
        <v>1043</v>
      </c>
      <c r="K105" s="217">
        <f t="shared" si="109"/>
        <v>1043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1093.4105160995782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1093.4105160995782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1176.2177482670854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1176.2177482670854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1264.1025428674559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1264.1025428674559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1355.9881954801847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1355.9881954801847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2</v>
      </c>
      <c r="G106" s="35">
        <f>SUMIFS(WORKING!$AC$3:$AC$6802,WORKING!$A$3:$A$6802,Results!$D$3,WORKING!$B$3:$B$6802,Results!A106,WORKING!$C$3:$C$6802,Results!C106)/1000</f>
        <v>2969.07224</v>
      </c>
      <c r="H106" s="35">
        <f t="shared" si="108"/>
        <v>1484.53612</v>
      </c>
      <c r="I106" s="187">
        <v>1</v>
      </c>
      <c r="J106" s="212">
        <v>1431</v>
      </c>
      <c r="K106" s="217">
        <f t="shared" si="109"/>
        <v>1431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1500.1649836861934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1500.1649836861934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1613.7786226942003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1613.7786226942003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1734.3589552301755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1734.3589552301755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1860.428754311275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1860.428754311275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122</v>
      </c>
      <c r="G112" s="41">
        <f>SUM(G92:G111)</f>
        <v>75319.214179999981</v>
      </c>
      <c r="H112" s="41">
        <f>IFERROR(G112/F112,0)</f>
        <v>617.37060803278678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53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35967.057870000004</v>
      </c>
      <c r="K112" s="41">
        <f>IFERROR(J112/I112,"")</f>
        <v>678.6237333962265</v>
      </c>
      <c r="L112" s="41">
        <f>SUM(L92:L111)</f>
        <v>53</v>
      </c>
      <c r="M112" s="41">
        <f>IFERROR(S112/P112,0)</f>
        <v>715.62620568792579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53</v>
      </c>
      <c r="Q112" s="41">
        <f t="shared" si="124"/>
        <v>0</v>
      </c>
      <c r="R112" s="41">
        <f t="shared" si="124"/>
        <v>0</v>
      </c>
      <c r="S112" s="45">
        <f t="shared" si="124"/>
        <v>37928.188901460067</v>
      </c>
      <c r="T112" s="41">
        <f t="shared" si="124"/>
        <v>53</v>
      </c>
      <c r="U112" s="41">
        <f>IFERROR(AA112/X112,0)</f>
        <v>774.75982663320042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53</v>
      </c>
      <c r="Y112" s="41">
        <f t="shared" si="125"/>
        <v>0</v>
      </c>
      <c r="Z112" s="41">
        <f t="shared" si="125"/>
        <v>0</v>
      </c>
      <c r="AA112" s="45">
        <f t="shared" si="125"/>
        <v>41062.270811559625</v>
      </c>
      <c r="AB112" s="41">
        <f t="shared" si="125"/>
        <v>53</v>
      </c>
      <c r="AC112" s="41">
        <f>IFERROR(AI112/AF112,0)</f>
        <v>838.00959278625055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53</v>
      </c>
      <c r="AG112" s="41">
        <f t="shared" si="126"/>
        <v>0</v>
      </c>
      <c r="AH112" s="41">
        <f t="shared" si="126"/>
        <v>0</v>
      </c>
      <c r="AI112" s="45">
        <f t="shared" si="126"/>
        <v>44414.508417671277</v>
      </c>
      <c r="AJ112" s="41">
        <f t="shared" si="126"/>
        <v>53</v>
      </c>
      <c r="AK112" s="41">
        <f>IFERROR(AQ112/AN112,0)</f>
        <v>904.73976460274116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53</v>
      </c>
      <c r="AO112" s="41">
        <f t="shared" si="127"/>
        <v>0</v>
      </c>
      <c r="AP112" s="41">
        <f t="shared" si="127"/>
        <v>0</v>
      </c>
      <c r="AQ112" s="45">
        <f t="shared" si="127"/>
        <v>47951.207523945282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39851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40808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43900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47236.4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1922.8110985399326</v>
      </c>
      <c r="T114" s="39"/>
      <c r="U114" s="39"/>
      <c r="V114" s="53"/>
      <c r="W114" s="53"/>
      <c r="X114" s="110"/>
      <c r="Y114" s="39"/>
      <c r="Z114" s="39"/>
      <c r="AA114" s="54">
        <f>AA113-AA112</f>
        <v>-254.27081155962514</v>
      </c>
      <c r="AB114" s="39"/>
      <c r="AC114" s="53"/>
      <c r="AD114" s="53"/>
      <c r="AE114" s="110"/>
      <c r="AF114" s="39"/>
      <c r="AG114" s="39"/>
      <c r="AH114" s="39"/>
      <c r="AI114" s="54">
        <f>AI113-AI112</f>
        <v>-514.50841767127713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-714.80752394528099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Monitoring and Evaluation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1</v>
      </c>
      <c r="J121" s="212">
        <v>109</v>
      </c>
      <c r="K121" s="217">
        <f t="shared" ref="K121:K139" si="135">IFERROR(IF(J121="",G121,J121)/IF(I121="",F121,I121),"")</f>
        <v>109</v>
      </c>
      <c r="L121" s="34">
        <f t="shared" si="128"/>
        <v>1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117.04721761276765</v>
      </c>
      <c r="N121" s="57">
        <v>0</v>
      </c>
      <c r="O121" s="57">
        <v>0</v>
      </c>
      <c r="P121" s="61">
        <f t="shared" si="129"/>
        <v>1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117.04721761276765</v>
      </c>
      <c r="T121" s="35">
        <f t="shared" ref="T121:T139" si="139">P121</f>
        <v>1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125.24439935575997</v>
      </c>
      <c r="V121" s="57">
        <v>0</v>
      </c>
      <c r="W121" s="57">
        <v>0</v>
      </c>
      <c r="X121" s="61">
        <f t="shared" si="130"/>
        <v>1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125.24439935575997</v>
      </c>
      <c r="AB121" s="35">
        <f t="shared" ref="AB121:AB139" si="143">X121</f>
        <v>1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133.89041090549981</v>
      </c>
      <c r="AD121" s="57">
        <v>0</v>
      </c>
      <c r="AE121" s="57">
        <v>0</v>
      </c>
      <c r="AF121" s="61">
        <f t="shared" si="131"/>
        <v>1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133.89041090549981</v>
      </c>
      <c r="AJ121" s="35">
        <f t="shared" si="132"/>
        <v>1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142.86550277933821</v>
      </c>
      <c r="AL121" s="57">
        <v>0</v>
      </c>
      <c r="AM121" s="57">
        <v>0</v>
      </c>
      <c r="AN121" s="61">
        <f t="shared" si="133"/>
        <v>1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142.86550277933821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8</v>
      </c>
      <c r="J124" s="212">
        <v>1528</v>
      </c>
      <c r="K124" s="217">
        <f t="shared" si="135"/>
        <v>191</v>
      </c>
      <c r="L124" s="34">
        <f t="shared" si="128"/>
        <v>8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205.10108774347358</v>
      </c>
      <c r="N124" s="57">
        <v>0</v>
      </c>
      <c r="O124" s="57">
        <v>0</v>
      </c>
      <c r="P124" s="61">
        <f t="shared" si="129"/>
        <v>8</v>
      </c>
      <c r="Q124" s="40">
        <f t="shared" si="136"/>
        <v>0</v>
      </c>
      <c r="R124" s="40">
        <f t="shared" si="137"/>
        <v>0</v>
      </c>
      <c r="S124" s="44">
        <f t="shared" si="138"/>
        <v>1640.8087019477887</v>
      </c>
      <c r="T124" s="35">
        <f t="shared" si="139"/>
        <v>8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219.46495666926745</v>
      </c>
      <c r="V124" s="57">
        <v>0</v>
      </c>
      <c r="W124" s="57">
        <v>0</v>
      </c>
      <c r="X124" s="61">
        <f t="shared" si="130"/>
        <v>8</v>
      </c>
      <c r="Y124" s="40">
        <f t="shared" si="140"/>
        <v>0</v>
      </c>
      <c r="Z124" s="40">
        <f t="shared" si="141"/>
        <v>0</v>
      </c>
      <c r="AA124" s="44">
        <f t="shared" si="142"/>
        <v>1755.7196533541396</v>
      </c>
      <c r="AB124" s="35">
        <f t="shared" si="143"/>
        <v>8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234.61530718303175</v>
      </c>
      <c r="AD124" s="57">
        <v>0</v>
      </c>
      <c r="AE124" s="57">
        <v>0</v>
      </c>
      <c r="AF124" s="61">
        <f t="shared" si="131"/>
        <v>8</v>
      </c>
      <c r="AG124" s="40">
        <f t="shared" si="144"/>
        <v>0</v>
      </c>
      <c r="AH124" s="40">
        <f t="shared" si="145"/>
        <v>0</v>
      </c>
      <c r="AI124" s="44">
        <f t="shared" si="146"/>
        <v>1876.922457464254</v>
      </c>
      <c r="AJ124" s="35">
        <f t="shared" si="132"/>
        <v>8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250.34230303535409</v>
      </c>
      <c r="AL124" s="57">
        <v>0</v>
      </c>
      <c r="AM124" s="57">
        <v>0</v>
      </c>
      <c r="AN124" s="61">
        <f t="shared" si="133"/>
        <v>8</v>
      </c>
      <c r="AO124" s="40">
        <f t="shared" si="147"/>
        <v>0</v>
      </c>
      <c r="AP124" s="40">
        <f t="shared" si="148"/>
        <v>0</v>
      </c>
      <c r="AQ124" s="44">
        <f t="shared" si="149"/>
        <v>2002.7384242828327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3</v>
      </c>
      <c r="J125" s="212">
        <v>705</v>
      </c>
      <c r="K125" s="217">
        <f t="shared" si="135"/>
        <v>235</v>
      </c>
      <c r="L125" s="34">
        <f t="shared" si="128"/>
        <v>3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252.34950586238898</v>
      </c>
      <c r="N125" s="57">
        <v>0</v>
      </c>
      <c r="O125" s="57">
        <v>0</v>
      </c>
      <c r="P125" s="61">
        <f t="shared" si="129"/>
        <v>3</v>
      </c>
      <c r="Q125" s="40">
        <f t="shared" si="136"/>
        <v>0</v>
      </c>
      <c r="R125" s="40">
        <f t="shared" si="137"/>
        <v>0</v>
      </c>
      <c r="S125" s="44">
        <f t="shared" si="138"/>
        <v>757.048517587167</v>
      </c>
      <c r="T125" s="35">
        <f t="shared" si="139"/>
        <v>3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270.02232888627145</v>
      </c>
      <c r="V125" s="57">
        <v>0</v>
      </c>
      <c r="W125" s="57">
        <v>0</v>
      </c>
      <c r="X125" s="61">
        <f t="shared" si="130"/>
        <v>3</v>
      </c>
      <c r="Y125" s="40">
        <f t="shared" si="140"/>
        <v>0</v>
      </c>
      <c r="Z125" s="40">
        <f t="shared" si="141"/>
        <v>0</v>
      </c>
      <c r="AA125" s="44">
        <f t="shared" si="142"/>
        <v>810.06698665881436</v>
      </c>
      <c r="AB125" s="35">
        <f t="shared" si="143"/>
        <v>3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288.66281250268304</v>
      </c>
      <c r="AD125" s="57">
        <v>0</v>
      </c>
      <c r="AE125" s="57">
        <v>0</v>
      </c>
      <c r="AF125" s="61">
        <f t="shared" si="131"/>
        <v>3</v>
      </c>
      <c r="AG125" s="40">
        <f t="shared" si="144"/>
        <v>0</v>
      </c>
      <c r="AH125" s="40">
        <f t="shared" si="145"/>
        <v>0</v>
      </c>
      <c r="AI125" s="44">
        <f t="shared" si="146"/>
        <v>865.98843750804917</v>
      </c>
      <c r="AJ125" s="35">
        <f t="shared" si="132"/>
        <v>3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308.01278122150893</v>
      </c>
      <c r="AL125" s="57">
        <v>0</v>
      </c>
      <c r="AM125" s="57">
        <v>0</v>
      </c>
      <c r="AN125" s="61">
        <f t="shared" si="133"/>
        <v>3</v>
      </c>
      <c r="AO125" s="40">
        <f t="shared" si="147"/>
        <v>0</v>
      </c>
      <c r="AP125" s="40">
        <f t="shared" si="148"/>
        <v>0</v>
      </c>
      <c r="AQ125" s="44">
        <f t="shared" si="149"/>
        <v>924.03834366452679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297.55425000000002</v>
      </c>
      <c r="H126" s="35">
        <f t="shared" si="134"/>
        <v>297.55425000000002</v>
      </c>
      <c r="I126" s="187">
        <v>7</v>
      </c>
      <c r="J126" s="212">
        <v>2014</v>
      </c>
      <c r="K126" s="217">
        <f t="shared" si="135"/>
        <v>287.71428571428572</v>
      </c>
      <c r="L126" s="34">
        <f t="shared" si="128"/>
        <v>7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312.96411317730326</v>
      </c>
      <c r="N126" s="57">
        <v>0</v>
      </c>
      <c r="O126" s="57">
        <v>0</v>
      </c>
      <c r="P126" s="61">
        <f t="shared" si="129"/>
        <v>7</v>
      </c>
      <c r="Q126" s="40">
        <f t="shared" si="136"/>
        <v>0</v>
      </c>
      <c r="R126" s="40">
        <f t="shared" si="137"/>
        <v>0</v>
      </c>
      <c r="S126" s="44">
        <f t="shared" si="138"/>
        <v>2190.7487922411228</v>
      </c>
      <c r="T126" s="35">
        <f t="shared" si="139"/>
        <v>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339.5012233344238</v>
      </c>
      <c r="V126" s="57">
        <v>0</v>
      </c>
      <c r="W126" s="57">
        <v>0</v>
      </c>
      <c r="X126" s="61">
        <f t="shared" si="130"/>
        <v>7</v>
      </c>
      <c r="Y126" s="40">
        <f t="shared" si="140"/>
        <v>0</v>
      </c>
      <c r="Z126" s="40">
        <f t="shared" si="141"/>
        <v>0</v>
      </c>
      <c r="AA126" s="44">
        <f t="shared" si="142"/>
        <v>2376.5085633409667</v>
      </c>
      <c r="AB126" s="35">
        <f t="shared" si="143"/>
        <v>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367.94451996691123</v>
      </c>
      <c r="AD126" s="57">
        <v>0</v>
      </c>
      <c r="AE126" s="57">
        <v>0</v>
      </c>
      <c r="AF126" s="61">
        <f t="shared" si="131"/>
        <v>7</v>
      </c>
      <c r="AG126" s="40">
        <f t="shared" si="144"/>
        <v>0</v>
      </c>
      <c r="AH126" s="40">
        <f t="shared" si="145"/>
        <v>0</v>
      </c>
      <c r="AI126" s="44">
        <f t="shared" si="146"/>
        <v>2575.6116397683786</v>
      </c>
      <c r="AJ126" s="35">
        <f t="shared" si="132"/>
        <v>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398.02521097781238</v>
      </c>
      <c r="AL126" s="57">
        <v>0</v>
      </c>
      <c r="AM126" s="57">
        <v>0</v>
      </c>
      <c r="AN126" s="61">
        <f t="shared" si="133"/>
        <v>7</v>
      </c>
      <c r="AO126" s="40">
        <f t="shared" si="147"/>
        <v>0</v>
      </c>
      <c r="AP126" s="40">
        <f t="shared" si="148"/>
        <v>0</v>
      </c>
      <c r="AQ126" s="44">
        <f t="shared" si="149"/>
        <v>2786.1764768446865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0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>
        <v>0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>
        <v>3</v>
      </c>
      <c r="J129" s="212">
        <v>1477</v>
      </c>
      <c r="K129" s="217">
        <f t="shared" si="135"/>
        <v>492.33333333333331</v>
      </c>
      <c r="L129" s="34">
        <f t="shared" si="128"/>
        <v>3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528.68116334574256</v>
      </c>
      <c r="N129" s="57">
        <v>0</v>
      </c>
      <c r="O129" s="57">
        <v>0</v>
      </c>
      <c r="P129" s="61">
        <f t="shared" si="129"/>
        <v>3</v>
      </c>
      <c r="Q129" s="40">
        <f t="shared" si="136"/>
        <v>0</v>
      </c>
      <c r="R129" s="40">
        <f t="shared" si="137"/>
        <v>0</v>
      </c>
      <c r="S129" s="44">
        <f t="shared" si="138"/>
        <v>1586.0434900372277</v>
      </c>
      <c r="T129" s="35">
        <f t="shared" si="139"/>
        <v>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565.7063542766283</v>
      </c>
      <c r="V129" s="57">
        <v>0</v>
      </c>
      <c r="W129" s="57">
        <v>0</v>
      </c>
      <c r="X129" s="61">
        <f t="shared" si="130"/>
        <v>3</v>
      </c>
      <c r="Y129" s="40">
        <f t="shared" si="140"/>
        <v>0</v>
      </c>
      <c r="Z129" s="40">
        <f t="shared" si="141"/>
        <v>0</v>
      </c>
      <c r="AA129" s="44">
        <f t="shared" si="142"/>
        <v>1697.119062829885</v>
      </c>
      <c r="AB129" s="35">
        <f t="shared" si="143"/>
        <v>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604.75882846306786</v>
      </c>
      <c r="AD129" s="57">
        <v>0</v>
      </c>
      <c r="AE129" s="57">
        <v>0</v>
      </c>
      <c r="AF129" s="61">
        <f t="shared" si="131"/>
        <v>3</v>
      </c>
      <c r="AG129" s="40">
        <f t="shared" si="144"/>
        <v>0</v>
      </c>
      <c r="AH129" s="40">
        <f t="shared" si="145"/>
        <v>0</v>
      </c>
      <c r="AI129" s="44">
        <f t="shared" si="146"/>
        <v>1814.2764853892036</v>
      </c>
      <c r="AJ129" s="35">
        <f t="shared" si="132"/>
        <v>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645.29769909811159</v>
      </c>
      <c r="AL129" s="57">
        <v>0</v>
      </c>
      <c r="AM129" s="57">
        <v>0</v>
      </c>
      <c r="AN129" s="61">
        <f t="shared" si="133"/>
        <v>3</v>
      </c>
      <c r="AO129" s="40">
        <f t="shared" si="147"/>
        <v>0</v>
      </c>
      <c r="AP129" s="40">
        <f t="shared" si="148"/>
        <v>0</v>
      </c>
      <c r="AQ129" s="44">
        <f t="shared" si="149"/>
        <v>1935.8930972943349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0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>
        <v>23</v>
      </c>
      <c r="J131" s="212">
        <v>17153</v>
      </c>
      <c r="K131" s="217">
        <f t="shared" si="135"/>
        <v>745.78260869565213</v>
      </c>
      <c r="L131" s="34">
        <f t="shared" si="128"/>
        <v>23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802.46208695652172</v>
      </c>
      <c r="N131" s="57">
        <v>1</v>
      </c>
      <c r="O131" s="57">
        <v>0</v>
      </c>
      <c r="P131" s="61">
        <f t="shared" si="129"/>
        <v>24</v>
      </c>
      <c r="Q131" s="40">
        <f t="shared" si="136"/>
        <v>802.46208695652172</v>
      </c>
      <c r="R131" s="40">
        <f t="shared" si="137"/>
        <v>0</v>
      </c>
      <c r="S131" s="44">
        <f t="shared" si="138"/>
        <v>19259.090086956523</v>
      </c>
      <c r="T131" s="35">
        <f t="shared" si="139"/>
        <v>24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858.63443304347834</v>
      </c>
      <c r="V131" s="57">
        <v>0</v>
      </c>
      <c r="W131" s="57">
        <v>0</v>
      </c>
      <c r="X131" s="61">
        <f t="shared" si="130"/>
        <v>24</v>
      </c>
      <c r="Y131" s="40">
        <f t="shared" si="140"/>
        <v>0</v>
      </c>
      <c r="Z131" s="40">
        <f t="shared" si="141"/>
        <v>0</v>
      </c>
      <c r="AA131" s="44">
        <f t="shared" si="142"/>
        <v>20607.226393043478</v>
      </c>
      <c r="AB131" s="35">
        <f t="shared" si="143"/>
        <v>24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917.88020892347834</v>
      </c>
      <c r="AD131" s="57">
        <v>0</v>
      </c>
      <c r="AE131" s="57">
        <v>0</v>
      </c>
      <c r="AF131" s="61">
        <f t="shared" si="131"/>
        <v>24</v>
      </c>
      <c r="AG131" s="40">
        <f t="shared" si="144"/>
        <v>0</v>
      </c>
      <c r="AH131" s="40">
        <f t="shared" si="145"/>
        <v>0</v>
      </c>
      <c r="AI131" s="44">
        <f t="shared" si="146"/>
        <v>22029.125014163481</v>
      </c>
      <c r="AJ131" s="35">
        <f t="shared" si="132"/>
        <v>24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979.37818292135137</v>
      </c>
      <c r="AL131" s="57">
        <v>0</v>
      </c>
      <c r="AM131" s="57">
        <v>0</v>
      </c>
      <c r="AN131" s="61">
        <f t="shared" si="133"/>
        <v>24</v>
      </c>
      <c r="AO131" s="40">
        <f t="shared" si="147"/>
        <v>0</v>
      </c>
      <c r="AP131" s="40">
        <f t="shared" si="148"/>
        <v>0</v>
      </c>
      <c r="AQ131" s="44">
        <f t="shared" si="149"/>
        <v>23505.076390112434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9</v>
      </c>
      <c r="J132" s="212">
        <v>6946</v>
      </c>
      <c r="K132" s="217">
        <f t="shared" si="135"/>
        <v>771.77777777777783</v>
      </c>
      <c r="L132" s="34">
        <f t="shared" si="128"/>
        <v>9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797.24644444444448</v>
      </c>
      <c r="N132" s="57">
        <v>0</v>
      </c>
      <c r="O132" s="57">
        <v>0</v>
      </c>
      <c r="P132" s="61">
        <f t="shared" si="129"/>
        <v>9</v>
      </c>
      <c r="Q132" s="40">
        <f t="shared" si="136"/>
        <v>0</v>
      </c>
      <c r="R132" s="40">
        <f t="shared" si="137"/>
        <v>0</v>
      </c>
      <c r="S132" s="44">
        <f t="shared" si="138"/>
        <v>7175.2180000000008</v>
      </c>
      <c r="T132" s="35">
        <f t="shared" si="139"/>
        <v>9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845.08123111111115</v>
      </c>
      <c r="V132" s="57">
        <v>0</v>
      </c>
      <c r="W132" s="57">
        <v>0</v>
      </c>
      <c r="X132" s="61">
        <f t="shared" si="130"/>
        <v>9</v>
      </c>
      <c r="Y132" s="40">
        <f t="shared" si="140"/>
        <v>0</v>
      </c>
      <c r="Z132" s="40">
        <f t="shared" si="141"/>
        <v>0</v>
      </c>
      <c r="AA132" s="44">
        <f t="shared" si="142"/>
        <v>7605.7310800000005</v>
      </c>
      <c r="AB132" s="35">
        <f t="shared" si="143"/>
        <v>9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894.9410237466667</v>
      </c>
      <c r="AD132" s="57">
        <v>0</v>
      </c>
      <c r="AE132" s="57">
        <v>0</v>
      </c>
      <c r="AF132" s="61">
        <f t="shared" si="131"/>
        <v>9</v>
      </c>
      <c r="AG132" s="40">
        <f t="shared" si="144"/>
        <v>0</v>
      </c>
      <c r="AH132" s="40">
        <f t="shared" si="145"/>
        <v>0</v>
      </c>
      <c r="AI132" s="44">
        <f t="shared" si="146"/>
        <v>8054.46921372</v>
      </c>
      <c r="AJ132" s="35">
        <f t="shared" si="132"/>
        <v>9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945.95266210022669</v>
      </c>
      <c r="AL132" s="57">
        <v>0</v>
      </c>
      <c r="AM132" s="57">
        <v>0</v>
      </c>
      <c r="AN132" s="61">
        <f t="shared" si="133"/>
        <v>9</v>
      </c>
      <c r="AO132" s="40">
        <f t="shared" si="147"/>
        <v>0</v>
      </c>
      <c r="AP132" s="40">
        <f t="shared" si="148"/>
        <v>0</v>
      </c>
      <c r="AQ132" s="44">
        <f t="shared" si="149"/>
        <v>8513.5739589020395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2</v>
      </c>
      <c r="J133" s="212">
        <v>1810</v>
      </c>
      <c r="K133" s="217">
        <f t="shared" si="135"/>
        <v>905</v>
      </c>
      <c r="L133" s="34">
        <f t="shared" si="128"/>
        <v>2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934.8649999999999</v>
      </c>
      <c r="N133" s="57">
        <v>0</v>
      </c>
      <c r="O133" s="57">
        <v>0</v>
      </c>
      <c r="P133" s="61">
        <f t="shared" si="129"/>
        <v>2</v>
      </c>
      <c r="Q133" s="40">
        <f t="shared" si="136"/>
        <v>0</v>
      </c>
      <c r="R133" s="40">
        <f t="shared" si="137"/>
        <v>0</v>
      </c>
      <c r="S133" s="44">
        <f t="shared" si="138"/>
        <v>1869.7299999999998</v>
      </c>
      <c r="T133" s="35">
        <f t="shared" si="139"/>
        <v>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990.95689999999991</v>
      </c>
      <c r="V133" s="57">
        <v>0</v>
      </c>
      <c r="W133" s="57">
        <v>0</v>
      </c>
      <c r="X133" s="61">
        <f t="shared" si="130"/>
        <v>2</v>
      </c>
      <c r="Y133" s="40">
        <f t="shared" si="140"/>
        <v>0</v>
      </c>
      <c r="Z133" s="40">
        <f t="shared" si="141"/>
        <v>0</v>
      </c>
      <c r="AA133" s="44">
        <f t="shared" si="142"/>
        <v>1981.9137999999998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1049.4233570999997</v>
      </c>
      <c r="AD133" s="57">
        <v>0</v>
      </c>
      <c r="AE133" s="57">
        <v>0</v>
      </c>
      <c r="AF133" s="61">
        <f t="shared" si="131"/>
        <v>2</v>
      </c>
      <c r="AG133" s="40">
        <f t="shared" si="144"/>
        <v>0</v>
      </c>
      <c r="AH133" s="40">
        <f t="shared" si="145"/>
        <v>0</v>
      </c>
      <c r="AI133" s="44">
        <f t="shared" si="146"/>
        <v>2098.8467141999995</v>
      </c>
      <c r="AJ133" s="35">
        <f t="shared" si="132"/>
        <v>2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1109.2404884546997</v>
      </c>
      <c r="AL133" s="57">
        <v>0</v>
      </c>
      <c r="AM133" s="57">
        <v>0</v>
      </c>
      <c r="AN133" s="61">
        <f t="shared" si="133"/>
        <v>2</v>
      </c>
      <c r="AO133" s="40">
        <f t="shared" si="147"/>
        <v>0</v>
      </c>
      <c r="AP133" s="40">
        <f t="shared" si="148"/>
        <v>0</v>
      </c>
      <c r="AQ133" s="44">
        <f t="shared" si="149"/>
        <v>2218.4809769093995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0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755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</v>
      </c>
      <c r="G140" s="41">
        <f>SUM(G120:G139)</f>
        <v>297.55425000000002</v>
      </c>
      <c r="H140" s="41">
        <f>IFERROR(G140/F140,0)</f>
        <v>297.55425000000002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56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31742</v>
      </c>
      <c r="K140" s="41">
        <f>IFERROR(J140/I140,"")</f>
        <v>566.82142857142856</v>
      </c>
      <c r="L140" s="41">
        <f>SUM(L120:L139)</f>
        <v>56</v>
      </c>
      <c r="M140" s="41">
        <f>IFERROR(S140/P140,0)</f>
        <v>606.94271590144911</v>
      </c>
      <c r="N140" s="41">
        <f t="shared" ref="N140:T140" si="151">SUM(N120:N139)</f>
        <v>1</v>
      </c>
      <c r="O140" s="41">
        <f t="shared" si="151"/>
        <v>0</v>
      </c>
      <c r="P140" s="41">
        <f t="shared" si="151"/>
        <v>57</v>
      </c>
      <c r="Q140" s="41">
        <f t="shared" si="151"/>
        <v>802.46208695652172</v>
      </c>
      <c r="R140" s="41">
        <f t="shared" si="151"/>
        <v>0</v>
      </c>
      <c r="S140" s="45">
        <f t="shared" si="151"/>
        <v>34595.734806382599</v>
      </c>
      <c r="T140" s="41">
        <f t="shared" si="151"/>
        <v>57</v>
      </c>
      <c r="U140" s="41">
        <f>IFERROR(AA140/X140,0)</f>
        <v>648.41280594005343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57</v>
      </c>
      <c r="Y140" s="41">
        <f t="shared" si="152"/>
        <v>0</v>
      </c>
      <c r="Z140" s="41">
        <f t="shared" si="152"/>
        <v>0</v>
      </c>
      <c r="AA140" s="45">
        <f t="shared" si="152"/>
        <v>36959.529938583044</v>
      </c>
      <c r="AB140" s="41">
        <f t="shared" si="152"/>
        <v>57</v>
      </c>
      <c r="AC140" s="41">
        <f>IFERROR(AI140/AF140,0)</f>
        <v>692.09000654594502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57</v>
      </c>
      <c r="AG140" s="41">
        <f t="shared" si="153"/>
        <v>0</v>
      </c>
      <c r="AH140" s="41">
        <f t="shared" si="153"/>
        <v>0</v>
      </c>
      <c r="AI140" s="45">
        <f t="shared" si="153"/>
        <v>39449.130373118867</v>
      </c>
      <c r="AJ140" s="41">
        <f t="shared" si="153"/>
        <v>57</v>
      </c>
      <c r="AK140" s="41">
        <f>IFERROR(AQ140/AN140,0)</f>
        <v>737.34812580332607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57</v>
      </c>
      <c r="AO140" s="41">
        <f t="shared" si="154"/>
        <v>0</v>
      </c>
      <c r="AP140" s="41">
        <f t="shared" si="154"/>
        <v>0</v>
      </c>
      <c r="AQ140" s="45">
        <f t="shared" si="154"/>
        <v>42028.843170789587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37849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38756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41687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44855.212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3253.2651936174007</v>
      </c>
      <c r="T142" s="39"/>
      <c r="U142" s="39"/>
      <c r="V142" s="53"/>
      <c r="W142" s="53"/>
      <c r="X142" s="110"/>
      <c r="Y142" s="39"/>
      <c r="Z142" s="39"/>
      <c r="AA142" s="54">
        <f>AA141-AA140</f>
        <v>1796.470061416956</v>
      </c>
      <c r="AB142" s="39"/>
      <c r="AC142" s="53"/>
      <c r="AD142" s="53"/>
      <c r="AE142" s="110"/>
      <c r="AF142" s="39"/>
      <c r="AG142" s="39"/>
      <c r="AH142" s="39"/>
      <c r="AI142" s="54">
        <f>AI141-AI140</f>
        <v>2237.8696268811327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2826.3688292104125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Integrity and Anti-Corruption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2</v>
      </c>
      <c r="J149" s="212">
        <v>197</v>
      </c>
      <c r="K149" s="217">
        <f t="shared" ref="K149:K167" si="162">IFERROR(IF(J149="",G149,J149)/IF(I149="",F149,I149),"")</f>
        <v>98.5</v>
      </c>
      <c r="L149" s="34">
        <f t="shared" si="155"/>
        <v>2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105.7720269252992</v>
      </c>
      <c r="N149" s="57">
        <v>0</v>
      </c>
      <c r="O149" s="57">
        <v>1</v>
      </c>
      <c r="P149" s="61">
        <f t="shared" si="156"/>
        <v>1</v>
      </c>
      <c r="Q149" s="40">
        <f t="shared" ref="Q149:Q167" si="163">M149*N149</f>
        <v>0</v>
      </c>
      <c r="R149" s="40">
        <f t="shared" ref="R149:R167" si="164">-M149*O149</f>
        <v>-105.7720269252992</v>
      </c>
      <c r="S149" s="44">
        <f t="shared" ref="S149:S167" si="165">M149*P149</f>
        <v>105.7720269252992</v>
      </c>
      <c r="T149" s="35">
        <f t="shared" ref="T149:T167" si="166">P149</f>
        <v>1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113.17957189488399</v>
      </c>
      <c r="V149" s="57">
        <v>0</v>
      </c>
      <c r="W149" s="57">
        <v>0</v>
      </c>
      <c r="X149" s="61">
        <f t="shared" si="157"/>
        <v>1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113.17957189488399</v>
      </c>
      <c r="AB149" s="35">
        <f t="shared" ref="AB149:AB167" si="170">X149</f>
        <v>1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120.99271077240118</v>
      </c>
      <c r="AD149" s="57">
        <v>0</v>
      </c>
      <c r="AE149" s="57">
        <v>0</v>
      </c>
      <c r="AF149" s="61">
        <f t="shared" si="158"/>
        <v>1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120.99271077240118</v>
      </c>
      <c r="AJ149" s="35">
        <f t="shared" si="159"/>
        <v>1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129.10322957582395</v>
      </c>
      <c r="AL149" s="57">
        <v>0</v>
      </c>
      <c r="AM149" s="57">
        <v>0</v>
      </c>
      <c r="AN149" s="61">
        <f t="shared" si="160"/>
        <v>1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129.10322957582395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1</v>
      </c>
      <c r="J150" s="212">
        <v>143</v>
      </c>
      <c r="K150" s="217">
        <f t="shared" si="162"/>
        <v>143</v>
      </c>
      <c r="L150" s="34">
        <f t="shared" si="155"/>
        <v>1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153.55735888647499</v>
      </c>
      <c r="N150" s="57">
        <v>0</v>
      </c>
      <c r="O150" s="57">
        <v>0</v>
      </c>
      <c r="P150" s="61">
        <f t="shared" si="156"/>
        <v>1</v>
      </c>
      <c r="Q150" s="40">
        <f t="shared" si="163"/>
        <v>0</v>
      </c>
      <c r="R150" s="40">
        <f t="shared" si="164"/>
        <v>0</v>
      </c>
      <c r="S150" s="44">
        <f t="shared" si="165"/>
        <v>153.55735888647499</v>
      </c>
      <c r="T150" s="35">
        <f t="shared" si="166"/>
        <v>1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164.31145970526305</v>
      </c>
      <c r="V150" s="57">
        <v>0</v>
      </c>
      <c r="W150" s="57">
        <v>0</v>
      </c>
      <c r="X150" s="61">
        <f t="shared" si="157"/>
        <v>1</v>
      </c>
      <c r="Y150" s="40">
        <f t="shared" si="167"/>
        <v>0</v>
      </c>
      <c r="Z150" s="40">
        <f t="shared" si="168"/>
        <v>0</v>
      </c>
      <c r="AA150" s="44">
        <f t="shared" si="169"/>
        <v>164.31145970526305</v>
      </c>
      <c r="AB150" s="35">
        <f t="shared" si="170"/>
        <v>1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175.65439228886669</v>
      </c>
      <c r="AD150" s="57">
        <v>0</v>
      </c>
      <c r="AE150" s="57">
        <v>0</v>
      </c>
      <c r="AF150" s="61">
        <f t="shared" si="158"/>
        <v>1</v>
      </c>
      <c r="AG150" s="40">
        <f t="shared" si="171"/>
        <v>0</v>
      </c>
      <c r="AH150" s="40">
        <f t="shared" si="172"/>
        <v>0</v>
      </c>
      <c r="AI150" s="44">
        <f t="shared" si="173"/>
        <v>175.65439228886669</v>
      </c>
      <c r="AJ150" s="35">
        <f t="shared" si="159"/>
        <v>1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187.4290541050033</v>
      </c>
      <c r="AL150" s="57">
        <v>0</v>
      </c>
      <c r="AM150" s="57">
        <v>0</v>
      </c>
      <c r="AN150" s="61">
        <f t="shared" si="160"/>
        <v>1</v>
      </c>
      <c r="AO150" s="40">
        <f t="shared" si="174"/>
        <v>0</v>
      </c>
      <c r="AP150" s="40">
        <f t="shared" si="175"/>
        <v>0</v>
      </c>
      <c r="AQ150" s="44">
        <f t="shared" si="176"/>
        <v>187.4290541050033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2</v>
      </c>
      <c r="J152" s="212">
        <v>370</v>
      </c>
      <c r="K152" s="217">
        <f t="shared" si="162"/>
        <v>185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198.65812163634877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397.31624327269753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212.57076954876689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425.14153909753378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227.2451928212611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454.4903856425222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242.47814691906021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484.95629383812042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3</v>
      </c>
      <c r="J153" s="212">
        <v>605</v>
      </c>
      <c r="K153" s="217">
        <f t="shared" si="162"/>
        <v>201.66666666666666</v>
      </c>
      <c r="L153" s="34">
        <f t="shared" si="155"/>
        <v>3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216.5552497116955</v>
      </c>
      <c r="N153" s="57">
        <v>0</v>
      </c>
      <c r="O153" s="57">
        <v>0</v>
      </c>
      <c r="P153" s="61">
        <f t="shared" si="156"/>
        <v>3</v>
      </c>
      <c r="Q153" s="40">
        <f t="shared" si="163"/>
        <v>0</v>
      </c>
      <c r="R153" s="40">
        <f t="shared" si="164"/>
        <v>0</v>
      </c>
      <c r="S153" s="44">
        <f t="shared" si="165"/>
        <v>649.66574913508646</v>
      </c>
      <c r="T153" s="35">
        <f t="shared" si="166"/>
        <v>3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231.7212893279351</v>
      </c>
      <c r="V153" s="57">
        <v>0</v>
      </c>
      <c r="W153" s="57">
        <v>0</v>
      </c>
      <c r="X153" s="61">
        <f t="shared" si="157"/>
        <v>3</v>
      </c>
      <c r="Y153" s="40">
        <f t="shared" si="167"/>
        <v>0</v>
      </c>
      <c r="Z153" s="40">
        <f t="shared" si="168"/>
        <v>0</v>
      </c>
      <c r="AA153" s="44">
        <f t="shared" si="169"/>
        <v>695.16386798380529</v>
      </c>
      <c r="AB153" s="35">
        <f t="shared" si="170"/>
        <v>3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247.71773271506842</v>
      </c>
      <c r="AD153" s="57">
        <v>0</v>
      </c>
      <c r="AE153" s="57">
        <v>0</v>
      </c>
      <c r="AF153" s="61">
        <f t="shared" si="158"/>
        <v>3</v>
      </c>
      <c r="AG153" s="40">
        <f t="shared" si="171"/>
        <v>0</v>
      </c>
      <c r="AH153" s="40">
        <f t="shared" si="172"/>
        <v>0</v>
      </c>
      <c r="AI153" s="44">
        <f t="shared" si="173"/>
        <v>743.15319814520524</v>
      </c>
      <c r="AJ153" s="35">
        <f t="shared" si="159"/>
        <v>3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264.32302501987647</v>
      </c>
      <c r="AL153" s="57">
        <v>0</v>
      </c>
      <c r="AM153" s="57">
        <v>0</v>
      </c>
      <c r="AN153" s="61">
        <f t="shared" si="160"/>
        <v>3</v>
      </c>
      <c r="AO153" s="40">
        <f t="shared" si="174"/>
        <v>0</v>
      </c>
      <c r="AP153" s="40">
        <f t="shared" si="175"/>
        <v>0</v>
      </c>
      <c r="AQ153" s="44">
        <f t="shared" si="176"/>
        <v>792.9690750596294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6</v>
      </c>
      <c r="J154" s="212">
        <v>1887</v>
      </c>
      <c r="K154" s="217">
        <f t="shared" si="162"/>
        <v>314.5</v>
      </c>
      <c r="L154" s="34">
        <f t="shared" si="155"/>
        <v>6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337.71880678179292</v>
      </c>
      <c r="N154" s="57">
        <v>0</v>
      </c>
      <c r="O154" s="57">
        <v>0</v>
      </c>
      <c r="P154" s="61">
        <f t="shared" si="156"/>
        <v>6</v>
      </c>
      <c r="Q154" s="40">
        <f t="shared" si="163"/>
        <v>0</v>
      </c>
      <c r="R154" s="40">
        <f t="shared" si="164"/>
        <v>0</v>
      </c>
      <c r="S154" s="44">
        <f t="shared" si="165"/>
        <v>2026.3128406907576</v>
      </c>
      <c r="T154" s="35">
        <f t="shared" si="166"/>
        <v>6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361.37030823290377</v>
      </c>
      <c r="V154" s="57">
        <v>0</v>
      </c>
      <c r="W154" s="57">
        <v>0</v>
      </c>
      <c r="X154" s="61">
        <f t="shared" si="157"/>
        <v>6</v>
      </c>
      <c r="Y154" s="40">
        <f t="shared" si="167"/>
        <v>0</v>
      </c>
      <c r="Z154" s="40">
        <f t="shared" si="168"/>
        <v>0</v>
      </c>
      <c r="AA154" s="44">
        <f t="shared" si="169"/>
        <v>2168.2218493974224</v>
      </c>
      <c r="AB154" s="35">
        <f t="shared" si="170"/>
        <v>6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386.31682779614391</v>
      </c>
      <c r="AD154" s="57">
        <v>0</v>
      </c>
      <c r="AE154" s="57">
        <v>0</v>
      </c>
      <c r="AF154" s="61">
        <f t="shared" si="158"/>
        <v>6</v>
      </c>
      <c r="AG154" s="40">
        <f t="shared" si="171"/>
        <v>0</v>
      </c>
      <c r="AH154" s="40">
        <f t="shared" si="172"/>
        <v>0</v>
      </c>
      <c r="AI154" s="44">
        <f t="shared" si="173"/>
        <v>2317.9009667768632</v>
      </c>
      <c r="AJ154" s="35">
        <f t="shared" si="159"/>
        <v>6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412.21284976240241</v>
      </c>
      <c r="AL154" s="57">
        <v>0</v>
      </c>
      <c r="AM154" s="57">
        <v>0</v>
      </c>
      <c r="AN154" s="61">
        <f t="shared" si="160"/>
        <v>6</v>
      </c>
      <c r="AO154" s="40">
        <f t="shared" si="174"/>
        <v>0</v>
      </c>
      <c r="AP154" s="40">
        <f t="shared" si="175"/>
        <v>0</v>
      </c>
      <c r="AQ154" s="44">
        <f t="shared" si="176"/>
        <v>2473.2770985744146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0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0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15</v>
      </c>
      <c r="J157" s="212">
        <v>8046</v>
      </c>
      <c r="K157" s="217">
        <f t="shared" si="162"/>
        <v>536.4</v>
      </c>
      <c r="L157" s="34">
        <f t="shared" si="155"/>
        <v>15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576.00116997695932</v>
      </c>
      <c r="N157" s="57">
        <v>0</v>
      </c>
      <c r="O157" s="57">
        <v>0</v>
      </c>
      <c r="P157" s="61">
        <f t="shared" si="156"/>
        <v>15</v>
      </c>
      <c r="Q157" s="40">
        <f t="shared" si="163"/>
        <v>0</v>
      </c>
      <c r="R157" s="40">
        <f t="shared" si="164"/>
        <v>0</v>
      </c>
      <c r="S157" s="44">
        <f t="shared" si="165"/>
        <v>8640.0175496543889</v>
      </c>
      <c r="T157" s="35">
        <f t="shared" si="166"/>
        <v>15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616.34032857274894</v>
      </c>
      <c r="V157" s="57">
        <v>0</v>
      </c>
      <c r="W157" s="57">
        <v>0</v>
      </c>
      <c r="X157" s="61">
        <f t="shared" si="157"/>
        <v>15</v>
      </c>
      <c r="Y157" s="40">
        <f t="shared" si="167"/>
        <v>0</v>
      </c>
      <c r="Z157" s="40">
        <f t="shared" si="168"/>
        <v>0</v>
      </c>
      <c r="AA157" s="44">
        <f t="shared" si="169"/>
        <v>9245.1049285912341</v>
      </c>
      <c r="AB157" s="35">
        <f t="shared" si="170"/>
        <v>15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658.8882239422943</v>
      </c>
      <c r="AD157" s="57">
        <v>0</v>
      </c>
      <c r="AE157" s="57">
        <v>0</v>
      </c>
      <c r="AF157" s="61">
        <f t="shared" si="158"/>
        <v>15</v>
      </c>
      <c r="AG157" s="40">
        <f t="shared" si="171"/>
        <v>0</v>
      </c>
      <c r="AH157" s="40">
        <f t="shared" si="172"/>
        <v>0</v>
      </c>
      <c r="AI157" s="44">
        <f t="shared" si="173"/>
        <v>9883.3233591344142</v>
      </c>
      <c r="AJ157" s="35">
        <f t="shared" si="159"/>
        <v>15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703.05555679666975</v>
      </c>
      <c r="AL157" s="57">
        <v>0</v>
      </c>
      <c r="AM157" s="57">
        <v>0</v>
      </c>
      <c r="AN157" s="61">
        <f t="shared" si="160"/>
        <v>15</v>
      </c>
      <c r="AO157" s="40">
        <f t="shared" si="174"/>
        <v>0</v>
      </c>
      <c r="AP157" s="40">
        <f t="shared" si="175"/>
        <v>0</v>
      </c>
      <c r="AQ157" s="44">
        <f t="shared" si="176"/>
        <v>10545.833351950047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0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>
        <v>21</v>
      </c>
      <c r="J159" s="212">
        <v>16610</v>
      </c>
      <c r="K159" s="217">
        <f t="shared" si="162"/>
        <v>790.95238095238096</v>
      </c>
      <c r="L159" s="34">
        <f t="shared" si="155"/>
        <v>21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851.06476190476201</v>
      </c>
      <c r="N159" s="57">
        <v>0</v>
      </c>
      <c r="O159" s="57">
        <v>0</v>
      </c>
      <c r="P159" s="61">
        <f t="shared" si="156"/>
        <v>21</v>
      </c>
      <c r="Q159" s="40">
        <f t="shared" si="163"/>
        <v>0</v>
      </c>
      <c r="R159" s="40">
        <f t="shared" si="164"/>
        <v>0</v>
      </c>
      <c r="S159" s="44">
        <f t="shared" si="165"/>
        <v>17872.36</v>
      </c>
      <c r="T159" s="35">
        <f t="shared" si="166"/>
        <v>21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910.63929523809543</v>
      </c>
      <c r="V159" s="57">
        <v>0</v>
      </c>
      <c r="W159" s="57">
        <v>0</v>
      </c>
      <c r="X159" s="61">
        <f t="shared" si="157"/>
        <v>21</v>
      </c>
      <c r="Y159" s="40">
        <f t="shared" si="167"/>
        <v>0</v>
      </c>
      <c r="Z159" s="40">
        <f t="shared" si="168"/>
        <v>0</v>
      </c>
      <c r="AA159" s="44">
        <f t="shared" si="169"/>
        <v>19123.425200000005</v>
      </c>
      <c r="AB159" s="35">
        <f t="shared" si="170"/>
        <v>21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973.47340660952398</v>
      </c>
      <c r="AD159" s="57">
        <v>0</v>
      </c>
      <c r="AE159" s="57">
        <v>0</v>
      </c>
      <c r="AF159" s="61">
        <f t="shared" si="158"/>
        <v>21</v>
      </c>
      <c r="AG159" s="40">
        <f t="shared" si="171"/>
        <v>0</v>
      </c>
      <c r="AH159" s="40">
        <f t="shared" si="172"/>
        <v>0</v>
      </c>
      <c r="AI159" s="44">
        <f t="shared" si="173"/>
        <v>20442.941538800005</v>
      </c>
      <c r="AJ159" s="35">
        <f t="shared" si="159"/>
        <v>21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1038.6961248523621</v>
      </c>
      <c r="AL159" s="57">
        <v>0</v>
      </c>
      <c r="AM159" s="57">
        <v>0</v>
      </c>
      <c r="AN159" s="61">
        <f t="shared" si="160"/>
        <v>21</v>
      </c>
      <c r="AO159" s="40">
        <f t="shared" si="174"/>
        <v>0</v>
      </c>
      <c r="AP159" s="40">
        <f t="shared" si="175"/>
        <v>0</v>
      </c>
      <c r="AQ159" s="44">
        <f t="shared" si="176"/>
        <v>21812.618621899604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10</v>
      </c>
      <c r="J160" s="212">
        <v>9576</v>
      </c>
      <c r="K160" s="217">
        <f t="shared" si="162"/>
        <v>957.6</v>
      </c>
      <c r="L160" s="34">
        <f t="shared" si="155"/>
        <v>10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989.20079999999996</v>
      </c>
      <c r="N160" s="57">
        <v>0</v>
      </c>
      <c r="O160" s="57">
        <v>0</v>
      </c>
      <c r="P160" s="61">
        <f t="shared" si="156"/>
        <v>10</v>
      </c>
      <c r="Q160" s="40">
        <f t="shared" si="163"/>
        <v>0</v>
      </c>
      <c r="R160" s="40">
        <f t="shared" si="164"/>
        <v>0</v>
      </c>
      <c r="S160" s="44">
        <f t="shared" si="165"/>
        <v>9892.0079999999998</v>
      </c>
      <c r="T160" s="35">
        <f t="shared" si="166"/>
        <v>10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1048.552848</v>
      </c>
      <c r="V160" s="57">
        <v>0</v>
      </c>
      <c r="W160" s="57">
        <v>0</v>
      </c>
      <c r="X160" s="61">
        <f t="shared" si="157"/>
        <v>10</v>
      </c>
      <c r="Y160" s="40">
        <f t="shared" si="167"/>
        <v>0</v>
      </c>
      <c r="Z160" s="40">
        <f t="shared" si="168"/>
        <v>0</v>
      </c>
      <c r="AA160" s="44">
        <f t="shared" si="169"/>
        <v>10485.528480000001</v>
      </c>
      <c r="AB160" s="35">
        <f t="shared" si="170"/>
        <v>10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1110.417466032</v>
      </c>
      <c r="AD160" s="57">
        <v>0</v>
      </c>
      <c r="AE160" s="57">
        <v>0</v>
      </c>
      <c r="AF160" s="61">
        <f t="shared" si="158"/>
        <v>10</v>
      </c>
      <c r="AG160" s="40">
        <f t="shared" si="171"/>
        <v>0</v>
      </c>
      <c r="AH160" s="40">
        <f t="shared" si="172"/>
        <v>0</v>
      </c>
      <c r="AI160" s="44">
        <f t="shared" si="173"/>
        <v>11104.174660320001</v>
      </c>
      <c r="AJ160" s="35">
        <f t="shared" si="159"/>
        <v>10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1173.711261595824</v>
      </c>
      <c r="AL160" s="57">
        <v>0</v>
      </c>
      <c r="AM160" s="57">
        <v>0</v>
      </c>
      <c r="AN160" s="61">
        <f t="shared" si="160"/>
        <v>10</v>
      </c>
      <c r="AO160" s="40">
        <f t="shared" si="174"/>
        <v>0</v>
      </c>
      <c r="AP160" s="40">
        <f t="shared" si="175"/>
        <v>0</v>
      </c>
      <c r="AQ160" s="44">
        <f t="shared" si="176"/>
        <v>11737.11261595824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>
        <v>2</v>
      </c>
      <c r="J161" s="212">
        <v>2215</v>
      </c>
      <c r="K161" s="217">
        <f t="shared" si="162"/>
        <v>1107.5</v>
      </c>
      <c r="L161" s="34">
        <f t="shared" si="155"/>
        <v>2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1144.0474999999999</v>
      </c>
      <c r="N161" s="57">
        <v>0</v>
      </c>
      <c r="O161" s="57">
        <v>0</v>
      </c>
      <c r="P161" s="61">
        <f t="shared" si="156"/>
        <v>2</v>
      </c>
      <c r="Q161" s="40">
        <f t="shared" si="163"/>
        <v>0</v>
      </c>
      <c r="R161" s="40">
        <f t="shared" si="164"/>
        <v>0</v>
      </c>
      <c r="S161" s="44">
        <f t="shared" si="165"/>
        <v>2288.0949999999998</v>
      </c>
      <c r="T161" s="35">
        <f t="shared" si="166"/>
        <v>2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1212.6903499999999</v>
      </c>
      <c r="V161" s="57">
        <v>0</v>
      </c>
      <c r="W161" s="57">
        <v>0</v>
      </c>
      <c r="X161" s="61">
        <f t="shared" si="157"/>
        <v>2</v>
      </c>
      <c r="Y161" s="40">
        <f t="shared" si="167"/>
        <v>0</v>
      </c>
      <c r="Z161" s="40">
        <f t="shared" si="168"/>
        <v>0</v>
      </c>
      <c r="AA161" s="44">
        <f t="shared" si="169"/>
        <v>2425.3806999999997</v>
      </c>
      <c r="AB161" s="35">
        <f t="shared" si="170"/>
        <v>2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1284.2390806499998</v>
      </c>
      <c r="AD161" s="57">
        <v>0</v>
      </c>
      <c r="AE161" s="57">
        <v>0</v>
      </c>
      <c r="AF161" s="61">
        <f t="shared" si="158"/>
        <v>2</v>
      </c>
      <c r="AG161" s="40">
        <f t="shared" si="171"/>
        <v>0</v>
      </c>
      <c r="AH161" s="40">
        <f t="shared" si="172"/>
        <v>0</v>
      </c>
      <c r="AI161" s="44">
        <f t="shared" si="173"/>
        <v>2568.4781612999996</v>
      </c>
      <c r="AJ161" s="35">
        <f t="shared" si="159"/>
        <v>2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1357.4407082470498</v>
      </c>
      <c r="AL161" s="57">
        <v>0</v>
      </c>
      <c r="AM161" s="57">
        <v>0</v>
      </c>
      <c r="AN161" s="61">
        <f t="shared" si="160"/>
        <v>2</v>
      </c>
      <c r="AO161" s="40">
        <f t="shared" si="174"/>
        <v>0</v>
      </c>
      <c r="AP161" s="40">
        <f t="shared" si="175"/>
        <v>0</v>
      </c>
      <c r="AQ161" s="44">
        <f t="shared" si="176"/>
        <v>2714.8814164940995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1</v>
      </c>
      <c r="J162" s="212">
        <v>1701</v>
      </c>
      <c r="K162" s="217">
        <f t="shared" si="162"/>
        <v>1701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1757.1329999999998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1757.1329999999998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1862.56098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1862.56098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1972.4520778199999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1972.4520778199999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2084.8818462557397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2084.8818462557397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755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>
        <v>0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63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41350</v>
      </c>
      <c r="K168" s="41">
        <f>IFERROR(J168/I168,"")</f>
        <v>656.34920634920638</v>
      </c>
      <c r="L168" s="41">
        <f>SUM(L148:L167)</f>
        <v>63</v>
      </c>
      <c r="M168" s="41">
        <f>IFERROR(S168/P168,0)</f>
        <v>706.16512529943077</v>
      </c>
      <c r="N168" s="41">
        <f t="shared" ref="N168:T168" si="177">SUM(N148:N167)</f>
        <v>0</v>
      </c>
      <c r="O168" s="41">
        <f t="shared" si="177"/>
        <v>1</v>
      </c>
      <c r="P168" s="41">
        <f t="shared" si="177"/>
        <v>62</v>
      </c>
      <c r="Q168" s="41">
        <f t="shared" si="177"/>
        <v>0</v>
      </c>
      <c r="R168" s="41">
        <f t="shared" si="177"/>
        <v>-105.7720269252992</v>
      </c>
      <c r="S168" s="45">
        <f t="shared" si="177"/>
        <v>43782.237768564708</v>
      </c>
      <c r="T168" s="41">
        <f t="shared" si="177"/>
        <v>62</v>
      </c>
      <c r="U168" s="41">
        <f>IFERROR(AA168/X168,0)</f>
        <v>753.35513833338962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62</v>
      </c>
      <c r="Y168" s="41">
        <f t="shared" si="178"/>
        <v>0</v>
      </c>
      <c r="Z168" s="41">
        <f t="shared" si="178"/>
        <v>0</v>
      </c>
      <c r="AA168" s="45">
        <f t="shared" si="178"/>
        <v>46708.018576670154</v>
      </c>
      <c r="AB168" s="41">
        <f t="shared" si="178"/>
        <v>62</v>
      </c>
      <c r="AC168" s="41">
        <f>IFERROR(AI168/AF168,0)</f>
        <v>802.96066856452057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62</v>
      </c>
      <c r="AG168" s="41">
        <f t="shared" si="179"/>
        <v>0</v>
      </c>
      <c r="AH168" s="41">
        <f t="shared" si="179"/>
        <v>0</v>
      </c>
      <c r="AI168" s="45">
        <f t="shared" si="179"/>
        <v>49783.561451000278</v>
      </c>
      <c r="AJ168" s="41">
        <f t="shared" si="179"/>
        <v>62</v>
      </c>
      <c r="AK168" s="41">
        <f>IFERROR(AQ168/AN168,0)</f>
        <v>854.24294522114064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62</v>
      </c>
      <c r="AO168" s="41">
        <f t="shared" si="180"/>
        <v>0</v>
      </c>
      <c r="AP168" s="41">
        <f t="shared" si="180"/>
        <v>0</v>
      </c>
      <c r="AQ168" s="45">
        <f t="shared" si="180"/>
        <v>52963.062603710721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45617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46708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50234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54051.784000000007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1834.7622314352921</v>
      </c>
      <c r="T170" s="39"/>
      <c r="U170" s="39"/>
      <c r="V170" s="53"/>
      <c r="W170" s="53"/>
      <c r="X170" s="110"/>
      <c r="Y170" s="39"/>
      <c r="Z170" s="39"/>
      <c r="AA170" s="54">
        <f>AA169-AA168</f>
        <v>-1.8576670154288877E-2</v>
      </c>
      <c r="AB170" s="39"/>
      <c r="AC170" s="53"/>
      <c r="AD170" s="53"/>
      <c r="AE170" s="110"/>
      <c r="AF170" s="39"/>
      <c r="AG170" s="39"/>
      <c r="AH170" s="39"/>
      <c r="AI170" s="54">
        <f>AI169-AI168</f>
        <v>450.43854899972212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1088.7213962892856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ol5ceChQHOqREb0I5W+FZ2qH1Uk3U1jQgkFCkCQ65jM7E0uSlkBT61bTJwtGa3P+mJXCs58RA6tl98nmLXYBKA==" saltValue="nINol3m6vRs5KaCp5JGrJ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Public Service Commission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45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42671.523011689816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NAT_HRBP__42671.5230116898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HRBP-Vote45.xlsx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df7ca258-5e24-45de-bd31-dbc76bc6765a"/>
    <ds:schemaRef ds:uri="http://purl.org/dc/dcmitype/"/>
    <ds:schemaRef ds:uri="http://schemas.microsoft.com/sharepoint/v3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